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cts\2013\W-13-072 FRA-70-13.10 6A\89464\structures\wall_0E3\spreadsheets\"/>
    </mc:Choice>
  </mc:AlternateContent>
  <bookViews>
    <workbookView xWindow="0" yWindow="0" windowWidth="28800" windowHeight="11850" activeTab="1"/>
  </bookViews>
  <sheets>
    <sheet name="AUTOTABLE" sheetId="10" r:id="rId1"/>
    <sheet name="E3" sheetId="9" r:id="rId2"/>
    <sheet name="Quants" sheetId="3" r:id="rId3"/>
    <sheet name="VOID" sheetId="4" r:id="rId4"/>
  </sheets>
  <externalReferences>
    <externalReference r:id="rId5"/>
    <externalReference r:id="rId6"/>
    <externalReference r:id="rId7"/>
  </externalReferences>
  <definedNames>
    <definedName name="_xlnm.Print_Area" localSheetId="1">'E3'!#REF!</definedName>
  </definedNames>
  <calcPr calcId="162913"/>
</workbook>
</file>

<file path=xl/calcChain.xml><?xml version="1.0" encoding="utf-8"?>
<calcChain xmlns="http://schemas.openxmlformats.org/spreadsheetml/2006/main">
  <c r="A7" i="10" l="1"/>
  <c r="B7" i="10"/>
  <c r="C7" i="10"/>
  <c r="D7" i="10"/>
  <c r="E7" i="10"/>
  <c r="A8" i="10"/>
  <c r="B8" i="10"/>
  <c r="D8" i="10"/>
  <c r="E8" i="10"/>
  <c r="B9" i="10"/>
  <c r="E9" i="10"/>
  <c r="B11" i="10"/>
  <c r="E11" i="10"/>
  <c r="A12" i="10"/>
  <c r="B12" i="10"/>
  <c r="D12" i="10"/>
  <c r="E12" i="10"/>
  <c r="A14" i="10"/>
  <c r="B14" i="10"/>
  <c r="D14" i="10"/>
  <c r="E14" i="10"/>
  <c r="A15" i="10"/>
  <c r="B15" i="10"/>
  <c r="D15" i="10"/>
  <c r="E15" i="10"/>
  <c r="A16" i="10"/>
  <c r="B16" i="10"/>
  <c r="D16" i="10"/>
  <c r="E16" i="10"/>
  <c r="A17" i="10"/>
  <c r="B17" i="10"/>
  <c r="D17" i="10"/>
  <c r="E17" i="10"/>
  <c r="A19" i="10"/>
  <c r="B19" i="10"/>
  <c r="D19" i="10"/>
  <c r="E19" i="10"/>
  <c r="A20" i="10"/>
  <c r="B20" i="10"/>
  <c r="D20" i="10"/>
  <c r="E20" i="10"/>
  <c r="A21" i="10"/>
  <c r="B21" i="10"/>
  <c r="C21" i="10"/>
  <c r="D21" i="10"/>
  <c r="E21" i="10"/>
  <c r="A22" i="10"/>
  <c r="B22" i="10"/>
  <c r="C22" i="10"/>
  <c r="D22" i="10"/>
  <c r="E22" i="10"/>
  <c r="B5" i="10"/>
  <c r="D5" i="10"/>
  <c r="E5" i="10"/>
  <c r="A5" i="10"/>
  <c r="C45" i="9" l="1"/>
  <c r="C42" i="9"/>
  <c r="C39" i="9"/>
  <c r="C36" i="9"/>
  <c r="C33" i="9"/>
  <c r="C30" i="9"/>
  <c r="C27" i="9"/>
  <c r="C202" i="9"/>
  <c r="C125" i="9"/>
  <c r="C124" i="9"/>
  <c r="C126" i="9"/>
  <c r="C191" i="9"/>
  <c r="C186" i="9"/>
  <c r="C122" i="9" s="1"/>
  <c r="C118" i="9"/>
  <c r="C119" i="9" s="1"/>
  <c r="C138" i="9"/>
  <c r="C169" i="9"/>
  <c r="C127" i="9" l="1"/>
  <c r="C129" i="9" s="1"/>
  <c r="C193" i="9"/>
  <c r="C162" i="9" l="1"/>
  <c r="C161" i="9"/>
  <c r="C163" i="9" s="1"/>
  <c r="C158" i="9"/>
  <c r="C160" i="9" s="1"/>
  <c r="C155" i="9"/>
  <c r="C157" i="9" s="1"/>
  <c r="C152" i="9"/>
  <c r="C154" i="9" s="1"/>
  <c r="C149" i="9"/>
  <c r="C151" i="9" s="1"/>
  <c r="C147" i="9"/>
  <c r="C146" i="9"/>
  <c r="C144" i="9"/>
  <c r="C143" i="9"/>
  <c r="C92" i="9"/>
  <c r="C94" i="9" s="1"/>
  <c r="C89" i="9"/>
  <c r="C91" i="9" s="1"/>
  <c r="C86" i="9"/>
  <c r="C88" i="9" s="1"/>
  <c r="C83" i="9"/>
  <c r="C85" i="9" s="1"/>
  <c r="C80" i="9"/>
  <c r="C82" i="9" s="1"/>
  <c r="C77" i="9"/>
  <c r="C74" i="9"/>
  <c r="C78" i="9"/>
  <c r="C75" i="9"/>
  <c r="C31" i="9"/>
  <c r="C28" i="9"/>
  <c r="C76" i="9" l="1"/>
  <c r="C145" i="9"/>
  <c r="C148" i="9"/>
  <c r="C79" i="9"/>
  <c r="C165" i="9" l="1"/>
  <c r="C141" i="9" s="1"/>
  <c r="C96" i="9"/>
  <c r="C72" i="9" s="1"/>
  <c r="C53" i="9" l="1"/>
  <c r="C55" i="9" s="1"/>
  <c r="C65" i="9"/>
  <c r="C67" i="9" s="1"/>
  <c r="C62" i="9"/>
  <c r="C64" i="9" s="1"/>
  <c r="C59" i="9"/>
  <c r="C61" i="9" s="1"/>
  <c r="C56" i="9"/>
  <c r="C58" i="9" s="1"/>
  <c r="C41" i="9"/>
  <c r="C38" i="9"/>
  <c r="C35" i="9"/>
  <c r="C32" i="9"/>
  <c r="C29" i="9"/>
  <c r="C47" i="9"/>
  <c r="C44" i="9"/>
  <c r="C49" i="9" l="1"/>
  <c r="C25" i="9"/>
  <c r="D5" i="9" s="1"/>
  <c r="C5" i="10" s="1"/>
  <c r="C69" i="9"/>
  <c r="C51" i="9" s="1"/>
  <c r="D16" i="9"/>
  <c r="C16" i="10" s="1"/>
  <c r="C205" i="9"/>
  <c r="C200" i="9" s="1"/>
  <c r="C172" i="9"/>
  <c r="C167" i="9" s="1"/>
  <c r="C181" i="9"/>
  <c r="C175" i="9"/>
  <c r="D19" i="9" s="1"/>
  <c r="C19" i="10" s="1"/>
  <c r="D12" i="9" l="1"/>
  <c r="C12" i="10" s="1"/>
  <c r="C113" i="9"/>
  <c r="D11" i="9" s="1"/>
  <c r="C11" i="10" s="1"/>
  <c r="A13" i="3" l="1"/>
  <c r="B13" i="3"/>
  <c r="C13" i="3"/>
  <c r="E13" i="3"/>
  <c r="F13" i="3"/>
  <c r="C195" i="9"/>
  <c r="D8" i="9" s="1"/>
  <c r="C8" i="10" s="1"/>
  <c r="D13" i="3" l="1"/>
  <c r="A8" i="9"/>
  <c r="C184" i="9"/>
  <c r="D9" i="9" s="1"/>
  <c r="C9" i="10" s="1"/>
  <c r="A15" i="3" l="1"/>
  <c r="D15" i="3" s="1"/>
  <c r="D14" i="3"/>
  <c r="A9" i="9"/>
  <c r="B17" i="3"/>
  <c r="A6" i="3"/>
  <c r="D6" i="3" s="1"/>
  <c r="A16" i="3"/>
  <c r="D16" i="3" s="1"/>
  <c r="A18" i="3"/>
  <c r="D18" i="3" s="1"/>
  <c r="C179" i="9"/>
  <c r="D20" i="9" s="1"/>
  <c r="C20" i="10" s="1"/>
  <c r="D17" i="9"/>
  <c r="C17" i="10" s="1"/>
  <c r="C136" i="9"/>
  <c r="D15" i="9" s="1"/>
  <c r="C15" i="10" s="1"/>
  <c r="C131" i="9"/>
  <c r="D14" i="9" s="1"/>
  <c r="C14" i="10" s="1"/>
  <c r="C109" i="9"/>
  <c r="C111" i="9" s="1"/>
  <c r="C100" i="9" s="1"/>
  <c r="E11" i="9"/>
  <c r="D11" i="10" s="1"/>
  <c r="B11" i="9"/>
  <c r="A11" i="10" s="1"/>
  <c r="F14" i="3"/>
  <c r="E9" i="9"/>
  <c r="D9" i="10" s="1"/>
  <c r="B9" i="9"/>
  <c r="A9" i="10" s="1"/>
  <c r="B27" i="3"/>
  <c r="C27" i="3"/>
  <c r="D27" i="3"/>
  <c r="E27" i="3"/>
  <c r="F27" i="3"/>
  <c r="G27" i="3"/>
  <c r="E17" i="3"/>
  <c r="B21" i="4"/>
  <c r="B20" i="4"/>
  <c r="B14" i="4"/>
  <c r="B13" i="4"/>
  <c r="C21" i="4"/>
  <c r="C20" i="4"/>
  <c r="C14" i="4"/>
  <c r="C13" i="4"/>
  <c r="D21" i="4"/>
  <c r="D14" i="4"/>
  <c r="G14" i="4" s="1"/>
  <c r="D13" i="4"/>
  <c r="D18" i="4"/>
  <c r="G18" i="4" s="1"/>
  <c r="D20" i="4"/>
  <c r="D19" i="4"/>
  <c r="G19" i="4" s="1"/>
  <c r="D17" i="4"/>
  <c r="G17" i="4" s="1"/>
  <c r="D16" i="4"/>
  <c r="G16" i="4" s="1"/>
  <c r="D15" i="4"/>
  <c r="G15" i="4" s="1"/>
  <c r="D12" i="4"/>
  <c r="D10" i="4"/>
  <c r="D9" i="4"/>
  <c r="D8" i="4"/>
  <c r="D7" i="4"/>
  <c r="D6" i="4"/>
  <c r="D5" i="4"/>
  <c r="D4" i="4"/>
  <c r="D3" i="4"/>
  <c r="D2" i="4"/>
  <c r="C12" i="4"/>
  <c r="C10" i="4"/>
  <c r="C9" i="4"/>
  <c r="C8" i="4"/>
  <c r="C7" i="4"/>
  <c r="C6" i="4"/>
  <c r="C5" i="4"/>
  <c r="C4" i="4"/>
  <c r="C3" i="4"/>
  <c r="C2" i="4"/>
  <c r="B11" i="4"/>
  <c r="G11" i="4" s="1"/>
  <c r="B10" i="4"/>
  <c r="B9" i="4"/>
  <c r="B8" i="4"/>
  <c r="B7" i="4"/>
  <c r="B6" i="4"/>
  <c r="B5" i="4"/>
  <c r="B4" i="4"/>
  <c r="B3" i="4"/>
  <c r="B2" i="4"/>
  <c r="C14" i="3" l="1"/>
  <c r="E14" i="3"/>
  <c r="A22" i="3"/>
  <c r="D22" i="3" s="1"/>
  <c r="A16" i="9"/>
  <c r="A24" i="3"/>
  <c r="D24" i="3" s="1"/>
  <c r="A19" i="9"/>
  <c r="A23" i="3"/>
  <c r="D23" i="3" s="1"/>
  <c r="A17" i="9"/>
  <c r="A7" i="3"/>
  <c r="D7" i="3" s="1"/>
  <c r="A17" i="3"/>
  <c r="D17" i="3" s="1"/>
  <c r="A11" i="9"/>
  <c r="A26" i="3"/>
  <c r="D26" i="3" s="1"/>
  <c r="A20" i="9"/>
  <c r="A14" i="9"/>
  <c r="A20" i="3" s="1"/>
  <c r="D20" i="3" s="1"/>
  <c r="A8" i="3"/>
  <c r="D8" i="3" s="1"/>
  <c r="A9" i="3"/>
  <c r="D9" i="3" s="1"/>
  <c r="G12" i="4"/>
  <c r="G5" i="4"/>
  <c r="G8" i="4"/>
  <c r="G13" i="4"/>
  <c r="G6" i="4"/>
  <c r="G4" i="4"/>
  <c r="G10" i="4"/>
  <c r="A14" i="3"/>
  <c r="B14" i="3"/>
  <c r="G20" i="4"/>
  <c r="G9" i="4"/>
  <c r="G7" i="4"/>
  <c r="G21" i="4"/>
  <c r="G3" i="4"/>
  <c r="A11" i="3" l="1"/>
  <c r="D11" i="3" s="1"/>
  <c r="A21" i="3"/>
  <c r="D21" i="3" s="1"/>
</calcChain>
</file>

<file path=xl/comments1.xml><?xml version="1.0" encoding="utf-8"?>
<comments xmlns="http://schemas.openxmlformats.org/spreadsheetml/2006/main">
  <authors>
    <author>Meet Shah</author>
  </authors>
  <commentList>
    <comment ref="F72" authorId="0" shapeId="0">
      <text>
        <r>
          <rPr>
            <b/>
            <sz val="9"/>
            <color indexed="81"/>
            <rFont val="Tahoma"/>
            <family val="2"/>
          </rPr>
          <t>Meet Shah:</t>
        </r>
        <r>
          <rPr>
            <sz val="9"/>
            <color indexed="81"/>
            <rFont val="Tahoma"/>
            <family val="2"/>
          </rPr>
          <t xml:space="preserve">
Paid for under Item 840 - Foundation Preparation</t>
        </r>
      </text>
    </comment>
  </commentList>
</comments>
</file>

<file path=xl/sharedStrings.xml><?xml version="1.0" encoding="utf-8"?>
<sst xmlns="http://schemas.openxmlformats.org/spreadsheetml/2006/main" count="483" uniqueCount="170">
  <si>
    <t>ITEM</t>
  </si>
  <si>
    <t>TOTAL</t>
  </si>
  <si>
    <t>UNIT</t>
  </si>
  <si>
    <t>DESCRIPTION</t>
  </si>
  <si>
    <t>ITEM EXT.</t>
  </si>
  <si>
    <t>APP SHT</t>
  </si>
  <si>
    <t>CU YD</t>
  </si>
  <si>
    <t>SPECIAL</t>
  </si>
  <si>
    <t>LUMP</t>
  </si>
  <si>
    <t>SQ YD</t>
  </si>
  <si>
    <t>FT</t>
  </si>
  <si>
    <t>SQ FT</t>
  </si>
  <si>
    <t>UNCLASSIFIED EXCAVATION, AS PER PLAN</t>
  </si>
  <si>
    <t>00400</t>
  </si>
  <si>
    <t>STEEL PILES, MISC.: SOLDIER PILES</t>
  </si>
  <si>
    <t>10000</t>
  </si>
  <si>
    <t>LB</t>
  </si>
  <si>
    <t>EPOXY COATED REINFORCING STEEL</t>
  </si>
  <si>
    <t>10001</t>
  </si>
  <si>
    <t>SEALING OF CONCRETE SURFACES (PERMANENT GRAFFITI PROTECTION), AS PER PLAN</t>
  </si>
  <si>
    <t>10101</t>
  </si>
  <si>
    <t>SEALING OF CONCRETE SURFACES (EPOXY URETHANE), AS PER PLAN</t>
  </si>
  <si>
    <t>33001</t>
  </si>
  <si>
    <t>TYPE 2 WATERPROOFING, AS PER PLAN</t>
  </si>
  <si>
    <t>13600</t>
  </si>
  <si>
    <t>1" PREFORMED EXPANSION JOINT FILLER</t>
  </si>
  <si>
    <t>40010</t>
  </si>
  <si>
    <t>6" CONDUIT, TYPE C</t>
  </si>
  <si>
    <t>SPECIAL - RETAINING WALL, MISC.: TEMPORARY HARDWOOD LAGGING</t>
  </si>
  <si>
    <t>ESTIMATED QUANTITIES</t>
  </si>
  <si>
    <t>AS PER PLAN REFERENCE SHEET</t>
  </si>
  <si>
    <t>WALL DETAIL SHEET</t>
  </si>
  <si>
    <t>REINFORCING SCHEDULE</t>
  </si>
  <si>
    <t>MEASURE AREA</t>
  </si>
  <si>
    <t>MEASURE LENGTH</t>
  </si>
  <si>
    <t>CALC</t>
  </si>
  <si>
    <t>CLASS QC1 CONCRETE, AS PER PLAN</t>
  </si>
  <si>
    <t>EACH</t>
  </si>
  <si>
    <t>RETAINING WALL, MISC.: TIEBACKS, AS PER PLAN</t>
  </si>
  <si>
    <t>RETAINING WALL, MISC.: FAILURE TESTS</t>
  </si>
  <si>
    <t>RETAINING WALL, MISC.: CREEP TESTS</t>
  </si>
  <si>
    <t>RETAINING WALL, MISC.: PERFORMANCE TESTS</t>
  </si>
  <si>
    <t>RETAINING WALL, MISC.: PROOF TESTS</t>
  </si>
  <si>
    <t>RETAINING WALL, MISC.: PREFABRICATED GEOCOMPOSITE DRAIN</t>
  </si>
  <si>
    <t>XX</t>
  </si>
  <si>
    <t>610E50000</t>
  </si>
  <si>
    <t>610E50010</t>
  </si>
  <si>
    <t>94503</t>
  </si>
  <si>
    <t>DRILLED SHAFTS, 24" DIAMETER ABOVE BEDROCK, AS PER PLAN</t>
  </si>
  <si>
    <t>46011</t>
  </si>
  <si>
    <t>WALL S</t>
  </si>
  <si>
    <t>WALL U</t>
  </si>
  <si>
    <t>WALL V</t>
  </si>
  <si>
    <t>WALL D</t>
  </si>
  <si>
    <t>DRILLED SHAFTS, 30" DIAMETER ABOVE BEDROCK, AS PER PLAN</t>
  </si>
  <si>
    <t>EMHT</t>
  </si>
  <si>
    <t>*THE INDIVIDUAL WALL QUANTITIES ARE STILL IN THEIR ORIGINAL SPREADSHEETS. THIS SPREADSHEET REFERENCES THE ORIGINALS IN EACH WALL FOLDER. MAKE QUANTITY CHANGES TO THE INDIVIDUAL SPREADSHEETS.</t>
  </si>
  <si>
    <t>PAVED GUTTER, TYPE 1-2, AS PER PLAN</t>
  </si>
  <si>
    <t>X</t>
  </si>
  <si>
    <t>4" NON-PERFORATED CORRUGATED PLASTIC PIPE, INCLUDING SPECIALS</t>
  </si>
  <si>
    <t>MEASURE LENGTH (USE AVG. 6' PER DRAIN)</t>
  </si>
  <si>
    <t>WALL E7</t>
  </si>
  <si>
    <t>EMBANKMENT</t>
  </si>
  <si>
    <t>GRANULAR MATERIAL, TYPE B</t>
  </si>
  <si>
    <t>GRANULAR MATERIAL, TYPE C</t>
  </si>
  <si>
    <t>SPECIAL - SETTLEMENT PLATFORM</t>
  </si>
  <si>
    <t>RAILING, CONCRETE, AS PER PLAN</t>
  </si>
  <si>
    <t>MECHANICALLY STABILIZED EARTH WALL, AS PER PLAN</t>
  </si>
  <si>
    <t>WALL EXCAVATION</t>
  </si>
  <si>
    <t>FOUNDATION PREPARATION</t>
  </si>
  <si>
    <t>SELECT GRANULAR BACKFILL</t>
  </si>
  <si>
    <t>6" DRAINAGE PIPE, PERFORATED</t>
  </si>
  <si>
    <t>CONCRETE COPING</t>
  </si>
  <si>
    <t>DAY</t>
  </si>
  <si>
    <t>ON-SITE ASSISTANCE</t>
  </si>
  <si>
    <t>LS</t>
  </si>
  <si>
    <t>AESTHETIC SURFACE TREATMENT</t>
  </si>
  <si>
    <t>SEALING OF CONCRETE SURFACES, (PERMANENT GRAFFITI PROTECTION), AS PER PLAN</t>
  </si>
  <si>
    <t>SEALING OF CONCRETE SURFACES (EPOXY URETHANE)</t>
  </si>
  <si>
    <t>ROADWAY MISC.: EPS GEOFOAM FILL</t>
  </si>
  <si>
    <t>PORTIONS OF STRUCTURE REMOVED</t>
  </si>
  <si>
    <t>GRANULAR MATERIAL TYPE C</t>
  </si>
  <si>
    <t>CU FT</t>
  </si>
  <si>
    <t>VOLUME</t>
  </si>
  <si>
    <t>PANEL WALL AREA-SEE 511-71200</t>
  </si>
  <si>
    <t>OUTSIDE FACE-COPING</t>
  </si>
  <si>
    <t>TOP FACE-COPING</t>
  </si>
  <si>
    <t>BACK FACE-COPING</t>
  </si>
  <si>
    <t>AREA OF COPING</t>
  </si>
  <si>
    <t>TOTAL AREA TO SEAL</t>
  </si>
  <si>
    <t>LENGTH OF COPING</t>
  </si>
  <si>
    <t>FULL LENGTH MSE WALL</t>
  </si>
  <si>
    <t>TOTAL PERFORATED PIPE</t>
  </si>
  <si>
    <t>ROADWAY MISC.: LIGHT WEIGHT BACKFILL</t>
  </si>
  <si>
    <t>CLASS QC2 CONCRETE, MISC.: LOAD DISTRIBUTION SLAB</t>
  </si>
  <si>
    <t>SQ. FT</t>
  </si>
  <si>
    <t>LBS</t>
  </si>
  <si>
    <t>REBAR SCHEDULE</t>
  </si>
  <si>
    <t>CLASS QC2 CONCRETE, MISC.: PARAPET INCLUDING SLEEPER SLAB WITH QC/QA</t>
  </si>
  <si>
    <t>MSE WALL AREA - TOP OF COPING TO TOP OF LEVELLING PAD</t>
  </si>
  <si>
    <t>2" PREFORMED EXPANSION JOINT FILLER</t>
  </si>
  <si>
    <t>DEPTH OF JOINT</t>
  </si>
  <si>
    <t>AREA</t>
  </si>
  <si>
    <t>SGB INSPECTION AND COMPACTION TESTING</t>
  </si>
  <si>
    <t>COFFERDAMS AND EXCAVATION, AS PER PLAN</t>
  </si>
  <si>
    <t>&amp;</t>
  </si>
  <si>
    <t>AREA STA. 277+55.02 TO 277+97.84/377+97.84</t>
  </si>
  <si>
    <t>LENGTH BETWEEN STA. 277+55.02 TO 277+97.84/377+97.84</t>
  </si>
  <si>
    <t>VOLUME STA. 277+55.02 TO 277+97.84/377+97.84</t>
  </si>
  <si>
    <t>AREA STA. 277+97.84/377+97.84 TO 378+50</t>
  </si>
  <si>
    <t>LENGTH BETWEEN STA. 277+97.84/377+97.84 TO 378+50</t>
  </si>
  <si>
    <t>VOLUME STA. 277+97.84/377+97.84 TO 378+50</t>
  </si>
  <si>
    <t>AREA STA. 378+50 TO 379+00</t>
  </si>
  <si>
    <t>LENGTH BETWEEN STA. 378+50 TO 379+00</t>
  </si>
  <si>
    <t>VOLUME STA. 378+50 TO 379+00</t>
  </si>
  <si>
    <t>AREA STA. 379+00 TO 379+50</t>
  </si>
  <si>
    <t>LENGTH BETWEEN STA. 379+00 TO 379+50</t>
  </si>
  <si>
    <t>VOLUME STA. 379+00 TO 379+50</t>
  </si>
  <si>
    <t>AREA STA. 379+50 TO 379+93.89</t>
  </si>
  <si>
    <t>LENGTH BETWEEN STA. 379+50 TO 379+93.89</t>
  </si>
  <si>
    <t>VOLUME STA. 379+50 TO 379+93.89</t>
  </si>
  <si>
    <t>TOTAL VOLUME</t>
  </si>
  <si>
    <t>AREA STA. 172+61.96 TO 173+00</t>
  </si>
  <si>
    <t>LENGTH BETWEEN STA. 172+61.96 TO 173+00</t>
  </si>
  <si>
    <t>VOLUME  STA. 172+61.96 TO 173+00</t>
  </si>
  <si>
    <t>AREA STA. 173+00 TO 173+50</t>
  </si>
  <si>
    <t>LENGTH BETWEEN STA. 173+00 TO 173+50</t>
  </si>
  <si>
    <t>VOLUME  STA. 173+00 TO 173+50</t>
  </si>
  <si>
    <t>AREA STA. 173+50 TO 174+00</t>
  </si>
  <si>
    <t>LENGTH BETWEEN STA. 173+50 TO 174+00</t>
  </si>
  <si>
    <t>VOLUME  STA. 173+50 TO 174+00</t>
  </si>
  <si>
    <t>AREA STA. 174+00 TO 174+50</t>
  </si>
  <si>
    <t>LENGTH BETWEEN STA. 174+00 TO 174+50</t>
  </si>
  <si>
    <t>VOLUME STA. 174+00 TO 174+50</t>
  </si>
  <si>
    <t>AREA STA. 174+50 TO 175+00</t>
  </si>
  <si>
    <t>LENGTH BETWEEN STA. 174+50 TO 175+00</t>
  </si>
  <si>
    <t>VOLUME STA. 174+50 TO 175+00</t>
  </si>
  <si>
    <t>AREA STA. 175+00 TO 175+50</t>
  </si>
  <si>
    <t>VOLUME STA. 175+00 TO 175+50</t>
  </si>
  <si>
    <t>LENGTH BETWEEN STA. 175+00 TO 175+50</t>
  </si>
  <si>
    <t>AREA STA. 175+50 TO 176+00</t>
  </si>
  <si>
    <t>LENGTH BETWEEN STA. 175+50 TO 176+00</t>
  </si>
  <si>
    <t>VOLUME STA. 175+50 TO 176+00</t>
  </si>
  <si>
    <t>AREA STA. 175+50 TO 175+60.68</t>
  </si>
  <si>
    <t xml:space="preserve">WALL EXTENDS TO STATION 176+00. But from station 175+60.68 everything will be paid for under wall e9 limits. </t>
  </si>
  <si>
    <t>LENGTH BETWEEN STA. 175+50 TO 175+60.68</t>
  </si>
  <si>
    <t>VOLUME STA. 175+50 TO 175+60.68</t>
  </si>
  <si>
    <t>granular material type b is quantified under wall e9 as it falls under the limits of wall E9 in front of 1373L bridge RA</t>
  </si>
  <si>
    <t>EXTRA FOR STEPS &amp; CHANGE IN ELEV. AND CONNECTING TO E9 DRAINAGE</t>
  </si>
  <si>
    <t>LENGTH OF PIPE DRAWN IN BASEMAP ( PERIMETER OF WALL EXCAVATION LIMITS)</t>
  </si>
  <si>
    <t>PLAN AREA-SHADED REGION AREA + AREA BELOW FOOTING</t>
  </si>
  <si>
    <t>PANEL WALL AREA-PROPOSED GROUND TO TOP OF COPING</t>
  </si>
  <si>
    <t>LENGTH OF 57" BARRIER WITH MOMENT SLAB</t>
  </si>
  <si>
    <t>C/S AREA OF 57" BARRIER WITH MOMENT SLAB</t>
  </si>
  <si>
    <t>LENGTH OF TRANSITION BARRIER WITH MOMENT SLAB</t>
  </si>
  <si>
    <t>C/S AREA OF TRANSITION BARRIER WITH MOMENT SLAB</t>
  </si>
  <si>
    <t>LENGTH OF 42" BARRIER WITH MOMENT SLAB</t>
  </si>
  <si>
    <t>C/S AREA OF 42" BARRIER WITH MOMENT SLAB</t>
  </si>
  <si>
    <t>LENGTH OF WALL/COPING</t>
  </si>
  <si>
    <t>EXPOSED PERIMETER OF 57" BARRIER</t>
  </si>
  <si>
    <t>EXPOSED PERIMETER OF 42" BARRIER</t>
  </si>
  <si>
    <t>LENGTHOF 57" BARRIER</t>
  </si>
  <si>
    <t>LENGTH OF 42" BARRIER</t>
  </si>
  <si>
    <t>AVERAGE PERIMETER OF TRANSITION BARRIER</t>
  </si>
  <si>
    <t>LENGTH OF TRANSITION BARRIER</t>
  </si>
  <si>
    <t>AREA OF BARRIER</t>
  </si>
  <si>
    <r>
      <t>C/S AREA CALCULATED FROM ROADWAY SECTIONS AT 1-70 WB PROVIDED BY MS ENGINEERING</t>
    </r>
    <r>
      <rPr>
        <sz val="10"/>
        <color rgb="FF92D050"/>
        <rFont val="Arial"/>
        <family val="2"/>
      </rPr>
      <t xml:space="preserve"> </t>
    </r>
    <r>
      <rPr>
        <sz val="10"/>
        <color theme="3" tint="0.39997558519241921"/>
        <rFont val="Arial"/>
        <family val="2"/>
      </rPr>
      <t>89464XC001.DGN</t>
    </r>
  </si>
  <si>
    <t>AVERAGE AREA STA. 175+50 TO 176+00</t>
  </si>
  <si>
    <t>AREA OF SEALING FOR TOP OF COPING</t>
  </si>
  <si>
    <t>EPOXY COATED REINFORCING STEEL, AS PER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</si>
</sst>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20" x14ac:knownFonts="1">
    <font>
      <sz val="10"/>
      <name val="Arial"/>
    </font>
    <font>
      <sz val="14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name val="Verdana"/>
      <family val="2"/>
    </font>
    <font>
      <b/>
      <sz val="10"/>
      <name val="Arial"/>
      <family val="2"/>
    </font>
    <font>
      <sz val="10"/>
      <name val="Verdana"/>
      <family val="2"/>
    </font>
    <font>
      <sz val="11"/>
      <color rgb="FF3F3F76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trike/>
      <sz val="10"/>
      <color rgb="FFFF0000"/>
      <name val="Arial"/>
      <family val="2"/>
    </font>
    <font>
      <strike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trike/>
      <sz val="10"/>
      <name val="Arial"/>
      <family val="2"/>
    </font>
    <font>
      <strike/>
      <sz val="11"/>
      <color rgb="FF3F3F76"/>
      <name val="Calibri"/>
      <family val="2"/>
      <scheme val="minor"/>
    </font>
    <font>
      <sz val="10"/>
      <color rgb="FF92D050"/>
      <name val="Arial"/>
      <family val="2"/>
    </font>
    <font>
      <sz val="10"/>
      <color theme="3" tint="0.39997558519241921"/>
      <name val="Arial"/>
      <family val="2"/>
    </font>
    <font>
      <strike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7" fillId="2" borderId="24" applyNumberFormat="0" applyAlignment="0" applyProtection="0"/>
    <xf numFmtId="0" fontId="2" fillId="0" borderId="0"/>
    <xf numFmtId="0" fontId="2" fillId="4" borderId="28" applyNumberFormat="0" applyFont="0" applyAlignment="0" applyProtection="0"/>
  </cellStyleXfs>
  <cellXfs count="15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8" fillId="0" borderId="0" xfId="0" applyFont="1"/>
    <xf numFmtId="1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49" fontId="0" fillId="0" borderId="0" xfId="0" quotePrefix="1" applyNumberFormat="1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0" xfId="0" applyFill="1"/>
    <xf numFmtId="2" fontId="0" fillId="0" borderId="0" xfId="0" applyNumberForma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2" fontId="5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left"/>
    </xf>
    <xf numFmtId="0" fontId="5" fillId="0" borderId="0" xfId="0" applyFont="1" applyFill="1" applyAlignment="1">
      <alignment horizontal="center"/>
    </xf>
    <xf numFmtId="1" fontId="3" fillId="0" borderId="0" xfId="0" applyNumberFormat="1" applyFont="1" applyFill="1"/>
    <xf numFmtId="0" fontId="9" fillId="0" borderId="0" xfId="0" applyFont="1" applyFill="1" applyAlignment="1">
      <alignment horizontal="left"/>
    </xf>
    <xf numFmtId="1" fontId="3" fillId="0" borderId="3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49" fontId="2" fillId="3" borderId="0" xfId="0" applyNumberFormat="1" applyFont="1" applyFill="1" applyBorder="1" applyAlignment="1">
      <alignment horizontal="left" vertical="center"/>
    </xf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1" fontId="3" fillId="3" borderId="0" xfId="0" applyNumberFormat="1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left" vertical="top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49" fontId="6" fillId="0" borderId="13" xfId="0" applyNumberFormat="1" applyFont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left" vertical="center"/>
    </xf>
    <xf numFmtId="1" fontId="2" fillId="0" borderId="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1" fontId="2" fillId="0" borderId="2" xfId="0" quotePrefix="1" applyNumberFormat="1" applyFont="1" applyBorder="1" applyAlignment="1">
      <alignment horizontal="center" vertical="center"/>
    </xf>
    <xf numFmtId="0" fontId="10" fillId="3" borderId="0" xfId="0" applyFont="1" applyFill="1" applyAlignment="1">
      <alignment horizontal="center"/>
    </xf>
    <xf numFmtId="49" fontId="10" fillId="3" borderId="0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49" fontId="2" fillId="3" borderId="0" xfId="2" applyNumberFormat="1" applyFont="1" applyFill="1" applyBorder="1" applyAlignment="1">
      <alignment horizontal="left" vertical="center"/>
    </xf>
    <xf numFmtId="1" fontId="2" fillId="3" borderId="0" xfId="2" applyNumberFormat="1" applyFont="1" applyFill="1" applyBorder="1" applyAlignment="1">
      <alignment horizontal="center" vertical="center"/>
    </xf>
    <xf numFmtId="0" fontId="2" fillId="3" borderId="0" xfId="2" applyFill="1" applyBorder="1" applyAlignment="1">
      <alignment horizontal="center"/>
    </xf>
    <xf numFmtId="0" fontId="2" fillId="0" borderId="0" xfId="2" applyFont="1" applyAlignment="1">
      <alignment horizontal="left" vertical="center"/>
    </xf>
    <xf numFmtId="0" fontId="2" fillId="0" borderId="0" xfId="2"/>
    <xf numFmtId="0" fontId="2" fillId="0" borderId="0" xfId="2" applyFont="1" applyAlignment="1">
      <alignment horizontal="left"/>
    </xf>
    <xf numFmtId="0" fontId="2" fillId="0" borderId="0" xfId="2" applyFont="1" applyAlignment="1">
      <alignment horizont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left" vertical="center"/>
    </xf>
    <xf numFmtId="0" fontId="7" fillId="0" borderId="0" xfId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0" fillId="5" borderId="0" xfId="0" applyFont="1" applyFill="1" applyAlignment="1">
      <alignment horizontal="center"/>
    </xf>
    <xf numFmtId="0" fontId="10" fillId="5" borderId="0" xfId="0" applyFont="1" applyFill="1" applyAlignment="1">
      <alignment horizontal="left"/>
    </xf>
    <xf numFmtId="0" fontId="11" fillId="5" borderId="24" xfId="1" applyFont="1" applyFill="1" applyAlignment="1">
      <alignment horizontal="center"/>
    </xf>
    <xf numFmtId="0" fontId="7" fillId="6" borderId="24" xfId="1" applyFill="1" applyAlignment="1">
      <alignment horizontal="center"/>
    </xf>
    <xf numFmtId="0" fontId="2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2" fillId="6" borderId="0" xfId="0" applyFont="1" applyFill="1" applyAlignment="1">
      <alignment horizontal="left"/>
    </xf>
    <xf numFmtId="1" fontId="0" fillId="6" borderId="0" xfId="0" applyNumberFormat="1" applyFill="1" applyAlignment="1">
      <alignment horizontal="center"/>
    </xf>
    <xf numFmtId="2" fontId="12" fillId="6" borderId="24" xfId="1" applyNumberFormat="1" applyFont="1" applyFill="1" applyAlignment="1">
      <alignment horizontal="center"/>
    </xf>
    <xf numFmtId="2" fontId="7" fillId="6" borderId="24" xfId="1" applyNumberFormat="1" applyFill="1" applyAlignment="1">
      <alignment horizontal="center"/>
    </xf>
    <xf numFmtId="0" fontId="13" fillId="5" borderId="0" xfId="0" applyFont="1" applyFill="1" applyAlignment="1">
      <alignment horizontal="center"/>
    </xf>
    <xf numFmtId="0" fontId="14" fillId="5" borderId="24" xfId="1" applyFont="1" applyFill="1" applyAlignment="1">
      <alignment horizontal="center"/>
    </xf>
    <xf numFmtId="0" fontId="13" fillId="5" borderId="0" xfId="0" applyFont="1" applyFill="1" applyAlignment="1">
      <alignment horizontal="left"/>
    </xf>
    <xf numFmtId="0" fontId="13" fillId="5" borderId="0" xfId="0" applyFont="1" applyFill="1"/>
    <xf numFmtId="0" fontId="2" fillId="6" borderId="0" xfId="0" applyFont="1" applyFill="1" applyBorder="1" applyAlignment="1">
      <alignment horizontal="center"/>
    </xf>
    <xf numFmtId="0" fontId="0" fillId="6" borderId="0" xfId="0" applyFill="1" applyAlignment="1">
      <alignment horizontal="left"/>
    </xf>
    <xf numFmtId="0" fontId="0" fillId="6" borderId="0" xfId="0" applyFill="1" applyBorder="1" applyAlignment="1">
      <alignment horizontal="center"/>
    </xf>
    <xf numFmtId="2" fontId="7" fillId="6" borderId="0" xfId="1" applyNumberFormat="1" applyFill="1" applyBorder="1" applyAlignment="1">
      <alignment horizontal="center"/>
    </xf>
    <xf numFmtId="0" fontId="2" fillId="6" borderId="0" xfId="0" applyFont="1" applyFill="1" applyBorder="1" applyAlignment="1">
      <alignment horizontal="left"/>
    </xf>
    <xf numFmtId="2" fontId="0" fillId="6" borderId="0" xfId="0" applyNumberFormat="1" applyFill="1" applyBorder="1" applyAlignment="1">
      <alignment horizontal="center"/>
    </xf>
    <xf numFmtId="1" fontId="0" fillId="6" borderId="0" xfId="0" applyNumberFormat="1" applyFill="1" applyBorder="1" applyAlignment="1">
      <alignment horizontal="center"/>
    </xf>
    <xf numFmtId="0" fontId="2" fillId="6" borderId="0" xfId="2" applyFont="1" applyFill="1" applyAlignment="1">
      <alignment horizontal="center"/>
    </xf>
    <xf numFmtId="0" fontId="2" fillId="6" borderId="0" xfId="2" applyFill="1"/>
    <xf numFmtId="0" fontId="2" fillId="6" borderId="0" xfId="2" applyFont="1" applyFill="1" applyAlignment="1">
      <alignment horizontal="left"/>
    </xf>
    <xf numFmtId="0" fontId="2" fillId="6" borderId="0" xfId="2" applyFont="1" applyFill="1" applyAlignment="1">
      <alignment horizontal="left" vertical="center"/>
    </xf>
    <xf numFmtId="0" fontId="13" fillId="3" borderId="0" xfId="0" applyFont="1" applyFill="1" applyAlignment="1">
      <alignment horizontal="center"/>
    </xf>
    <xf numFmtId="0" fontId="13" fillId="3" borderId="0" xfId="0" applyFont="1" applyFill="1" applyAlignment="1">
      <alignment horizontal="left"/>
    </xf>
    <xf numFmtId="0" fontId="13" fillId="6" borderId="0" xfId="0" applyFont="1" applyFill="1" applyAlignment="1">
      <alignment horizontal="center"/>
    </xf>
    <xf numFmtId="2" fontId="14" fillId="6" borderId="24" xfId="1" applyNumberFormat="1" applyFont="1" applyFill="1" applyAlignment="1">
      <alignment horizontal="center"/>
    </xf>
    <xf numFmtId="0" fontId="13" fillId="6" borderId="0" xfId="0" applyFont="1" applyFill="1" applyAlignment="1">
      <alignment horizontal="left"/>
    </xf>
    <xf numFmtId="2" fontId="17" fillId="6" borderId="24" xfId="1" applyNumberFormat="1" applyFont="1" applyFill="1" applyAlignment="1">
      <alignment horizontal="center"/>
    </xf>
    <xf numFmtId="1" fontId="13" fillId="6" borderId="0" xfId="0" applyNumberFormat="1" applyFont="1" applyFill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4">
    <cellStyle name="Input" xfId="1" builtinId="20"/>
    <cellStyle name="Normal" xfId="0" builtinId="0"/>
    <cellStyle name="Normal 2" xfId="2"/>
    <cellStyle name="Not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19</xdr:col>
      <xdr:colOff>133350</xdr:colOff>
      <xdr:row>75</xdr:row>
      <xdr:rowOff>123825</xdr:rowOff>
    </xdr:to>
    <xdr:grpSp>
      <xdr:nvGrpSpPr>
        <xdr:cNvPr id="25197" name="InnerSheetBorder">
          <a:extLst>
            <a:ext uri="{FF2B5EF4-FFF2-40B4-BE49-F238E27FC236}">
              <a16:creationId xmlns:a16="http://schemas.microsoft.com/office/drawing/2014/main" id="{00000000-0008-0000-0100-00006D620000}"/>
            </a:ext>
          </a:extLst>
        </xdr:cNvPr>
        <xdr:cNvGrpSpPr>
          <a:grpSpLocks/>
        </xdr:cNvGrpSpPr>
      </xdr:nvGrpSpPr>
      <xdr:grpSpPr bwMode="auto">
        <a:xfrm>
          <a:off x="0" y="19050"/>
          <a:ext cx="17678400" cy="12125325"/>
          <a:chOff x="256" y="102"/>
          <a:chExt cx="1852" cy="1275"/>
        </a:xfrm>
      </xdr:grpSpPr>
      <xdr:sp macro="" textlink="">
        <xdr:nvSpPr>
          <xdr:cNvPr id="25198" name="OB2">
            <a:extLst>
              <a:ext uri="{FF2B5EF4-FFF2-40B4-BE49-F238E27FC236}">
                <a16:creationId xmlns:a16="http://schemas.microsoft.com/office/drawing/2014/main" id="{00000000-0008-0000-0100-00006E620000}"/>
              </a:ext>
            </a:extLst>
          </xdr:cNvPr>
          <xdr:cNvSpPr>
            <a:spLocks noChangeShapeType="1"/>
          </xdr:cNvSpPr>
        </xdr:nvSpPr>
        <xdr:spPr bwMode="auto">
          <a:xfrm>
            <a:off x="256" y="102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199" name="OB1">
            <a:extLst>
              <a:ext uri="{FF2B5EF4-FFF2-40B4-BE49-F238E27FC236}">
                <a16:creationId xmlns:a16="http://schemas.microsoft.com/office/drawing/2014/main" id="{00000000-0008-0000-0100-00006F62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56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200" name="OB3">
            <a:extLst>
              <a:ext uri="{FF2B5EF4-FFF2-40B4-BE49-F238E27FC236}">
                <a16:creationId xmlns:a16="http://schemas.microsoft.com/office/drawing/2014/main" id="{00000000-0008-0000-0100-00007062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108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201" name="OB4">
            <a:extLst>
              <a:ext uri="{FF2B5EF4-FFF2-40B4-BE49-F238E27FC236}">
                <a16:creationId xmlns:a16="http://schemas.microsoft.com/office/drawing/2014/main" id="{00000000-0008-0000-0100-000071620000}"/>
              </a:ext>
            </a:extLst>
          </xdr:cNvPr>
          <xdr:cNvSpPr>
            <a:spLocks noChangeShapeType="1"/>
          </xdr:cNvSpPr>
        </xdr:nvSpPr>
        <xdr:spPr bwMode="auto">
          <a:xfrm>
            <a:off x="256" y="1377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2010/B-10-020%20HAM-75-7.85/77889/structures/WALL_00S/spreadsheets/00SWQ401_Estimated%20Quantiti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2010/B-10-020%20HAM-75-7.85/77889/structures/WALL_00U/spreadsheets/00UWQ401_Estimated%20Quantiti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2010/B-10-020%20HAM-75-7.85/77889/structures/WALL_00V/spreadsheets/00VWQ401_Estimated%20Quantiti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s"/>
      <sheetName val="Calcs"/>
    </sheetNames>
    <sheetDataSet>
      <sheetData sheetId="0"/>
      <sheetData sheetId="1">
        <row r="2">
          <cell r="C2" t="str">
            <v>LUMP</v>
          </cell>
        </row>
        <row r="3">
          <cell r="C3">
            <v>553</v>
          </cell>
        </row>
        <row r="4">
          <cell r="C4">
            <v>5514</v>
          </cell>
        </row>
        <row r="5">
          <cell r="C5">
            <v>80</v>
          </cell>
        </row>
        <row r="6">
          <cell r="C6">
            <v>103</v>
          </cell>
        </row>
        <row r="7">
          <cell r="C7">
            <v>103</v>
          </cell>
        </row>
        <row r="8">
          <cell r="C8">
            <v>21</v>
          </cell>
        </row>
        <row r="9">
          <cell r="C9">
            <v>777</v>
          </cell>
        </row>
        <row r="11">
          <cell r="C11">
            <v>27.666666666666668</v>
          </cell>
        </row>
        <row r="12">
          <cell r="C12">
            <v>48</v>
          </cell>
        </row>
        <row r="13">
          <cell r="C13">
            <v>596</v>
          </cell>
        </row>
        <row r="14">
          <cell r="C14">
            <v>286.08999999999997</v>
          </cell>
        </row>
        <row r="15">
          <cell r="C15">
            <v>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s"/>
      <sheetName val="Calcs"/>
    </sheetNames>
    <sheetDataSet>
      <sheetData sheetId="0"/>
      <sheetData sheetId="1">
        <row r="2">
          <cell r="C2" t="str">
            <v>LUMP</v>
          </cell>
        </row>
        <row r="3">
          <cell r="C3">
            <v>1779</v>
          </cell>
        </row>
        <row r="4">
          <cell r="C4">
            <v>19557</v>
          </cell>
        </row>
        <row r="5">
          <cell r="C5">
            <v>239</v>
          </cell>
        </row>
        <row r="6">
          <cell r="C6">
            <v>398</v>
          </cell>
        </row>
        <row r="7">
          <cell r="C7">
            <v>398</v>
          </cell>
        </row>
        <row r="8">
          <cell r="C8">
            <v>68</v>
          </cell>
        </row>
        <row r="9">
          <cell r="C9">
            <v>204</v>
          </cell>
        </row>
        <row r="11">
          <cell r="C11">
            <v>84</v>
          </cell>
        </row>
        <row r="12">
          <cell r="C12">
            <v>108</v>
          </cell>
        </row>
        <row r="13">
          <cell r="C13">
            <v>2234</v>
          </cell>
        </row>
        <row r="14">
          <cell r="C14">
            <v>505.07</v>
          </cell>
        </row>
        <row r="15">
          <cell r="C15">
            <v>453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s"/>
      <sheetName val="Calcs"/>
      <sheetName val="Sheet1"/>
    </sheetNames>
    <sheetDataSet>
      <sheetData sheetId="0"/>
      <sheetData sheetId="1">
        <row r="2">
          <cell r="C2" t="str">
            <v>LUMP</v>
          </cell>
        </row>
        <row r="3">
          <cell r="C3">
            <v>14230</v>
          </cell>
        </row>
        <row r="4">
          <cell r="C4">
            <v>297098</v>
          </cell>
        </row>
        <row r="5">
          <cell r="C5">
            <v>2312</v>
          </cell>
        </row>
        <row r="6">
          <cell r="C6">
            <v>4745</v>
          </cell>
        </row>
        <row r="7">
          <cell r="C7">
            <v>4745</v>
          </cell>
        </row>
        <row r="8">
          <cell r="C8">
            <v>774</v>
          </cell>
        </row>
        <row r="9">
          <cell r="C9">
            <v>8649.67</v>
          </cell>
        </row>
        <row r="11">
          <cell r="C11">
            <v>994.44444444444446</v>
          </cell>
        </row>
        <row r="12">
          <cell r="C12">
            <v>668</v>
          </cell>
        </row>
        <row r="13">
          <cell r="C13">
            <v>13588.71</v>
          </cell>
        </row>
        <row r="14">
          <cell r="C14">
            <v>2</v>
          </cell>
        </row>
        <row r="16">
          <cell r="C16">
            <v>644</v>
          </cell>
        </row>
        <row r="17">
          <cell r="C17" t="str">
            <v>LUMP</v>
          </cell>
        </row>
        <row r="19">
          <cell r="C19">
            <v>49169</v>
          </cell>
        </row>
        <row r="20">
          <cell r="C20">
            <v>11</v>
          </cell>
        </row>
        <row r="21">
          <cell r="C21">
            <v>266</v>
          </cell>
        </row>
        <row r="22">
          <cell r="C22">
            <v>243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E29" sqref="E29"/>
    </sheetView>
  </sheetViews>
  <sheetFormatPr defaultRowHeight="12.75" x14ac:dyDescent="0.2"/>
  <cols>
    <col min="2" max="2" width="13.140625" bestFit="1" customWidth="1"/>
    <col min="3" max="3" width="8.85546875" bestFit="1" customWidth="1"/>
    <col min="5" max="5" width="84.5703125" bestFit="1" customWidth="1"/>
    <col min="6" max="6" width="17" customWidth="1"/>
  </cols>
  <sheetData>
    <row r="1" spans="1:6" x14ac:dyDescent="0.2">
      <c r="A1" s="133" t="s">
        <v>29</v>
      </c>
      <c r="B1" s="134"/>
      <c r="C1" s="134"/>
      <c r="D1" s="134"/>
      <c r="E1" s="135"/>
      <c r="F1" s="139" t="s">
        <v>30</v>
      </c>
    </row>
    <row r="2" spans="1:6" ht="13.5" thickBot="1" x14ac:dyDescent="0.25">
      <c r="A2" s="136"/>
      <c r="B2" s="137"/>
      <c r="C2" s="137"/>
      <c r="D2" s="137"/>
      <c r="E2" s="138"/>
      <c r="F2" s="140"/>
    </row>
    <row r="3" spans="1:6" ht="12.75" customHeight="1" x14ac:dyDescent="0.2">
      <c r="A3" s="142" t="s">
        <v>0</v>
      </c>
      <c r="B3" s="144" t="s">
        <v>4</v>
      </c>
      <c r="C3" s="146" t="s">
        <v>1</v>
      </c>
      <c r="D3" s="144" t="s">
        <v>2</v>
      </c>
      <c r="E3" s="142" t="s">
        <v>3</v>
      </c>
      <c r="F3" s="140"/>
    </row>
    <row r="4" spans="1:6" ht="13.5" customHeight="1" thickBot="1" x14ac:dyDescent="0.25">
      <c r="A4" s="143"/>
      <c r="B4" s="145"/>
      <c r="C4" s="143"/>
      <c r="D4" s="145"/>
      <c r="E4" s="143"/>
      <c r="F4" s="141"/>
    </row>
    <row r="5" spans="1:6" x14ac:dyDescent="0.2">
      <c r="A5" s="6">
        <f>'E3'!B5</f>
        <v>203</v>
      </c>
      <c r="B5" s="6">
        <f>'E3'!C5</f>
        <v>20000</v>
      </c>
      <c r="C5" s="6">
        <f>'E3'!D5</f>
        <v>73</v>
      </c>
      <c r="D5" s="6" t="str">
        <f>'E3'!E5</f>
        <v>CU YD</v>
      </c>
      <c r="E5" s="97" t="str">
        <f>'E3'!F5</f>
        <v>EMBANKMENT</v>
      </c>
      <c r="F5" s="6"/>
    </row>
    <row r="6" spans="1:6" x14ac:dyDescent="0.2">
      <c r="A6" s="6"/>
      <c r="B6" s="6"/>
      <c r="C6" s="6"/>
      <c r="D6" s="6"/>
      <c r="E6" s="97"/>
      <c r="F6" s="6"/>
    </row>
    <row r="7" spans="1:6" x14ac:dyDescent="0.2">
      <c r="A7" s="6">
        <f>'E3'!B7</f>
        <v>503</v>
      </c>
      <c r="B7" s="6">
        <f>'E3'!C7</f>
        <v>11101</v>
      </c>
      <c r="C7" s="6" t="str">
        <f>'E3'!D7</f>
        <v>LS</v>
      </c>
      <c r="D7" s="6" t="str">
        <f>'E3'!E7</f>
        <v>LS</v>
      </c>
      <c r="E7" s="97" t="str">
        <f>'E3'!F7</f>
        <v>COFFERDAMS AND EXCAVATION, AS PER PLAN</v>
      </c>
      <c r="F7" s="6"/>
    </row>
    <row r="8" spans="1:6" x14ac:dyDescent="0.2">
      <c r="A8" s="6">
        <f>'E3'!B8</f>
        <v>509</v>
      </c>
      <c r="B8" s="6">
        <f>'E3'!C8</f>
        <v>10001</v>
      </c>
      <c r="C8" s="6">
        <f>'E3'!D8</f>
        <v>27989</v>
      </c>
      <c r="D8" s="6" t="str">
        <f>'E3'!E8</f>
        <v>LB</v>
      </c>
      <c r="E8" s="97" t="str">
        <f>'E3'!F8</f>
        <v>EPOXY COATED REINFORCING STEEL, AS PER PLAN</v>
      </c>
      <c r="F8" s="6"/>
    </row>
    <row r="9" spans="1:6" x14ac:dyDescent="0.2">
      <c r="A9" s="6">
        <f>'E3'!B9</f>
        <v>511</v>
      </c>
      <c r="B9" s="6">
        <f>'E3'!C9</f>
        <v>53012</v>
      </c>
      <c r="C9" s="6">
        <f>'E3'!D9</f>
        <v>196</v>
      </c>
      <c r="D9" s="6" t="str">
        <f>'E3'!E9</f>
        <v>CU YD</v>
      </c>
      <c r="E9" s="97" t="str">
        <f>'E3'!F9</f>
        <v>CLASS QC2 CONCRETE, MISC.: PARAPET INCLUDING SLEEPER SLAB WITH QC/QA</v>
      </c>
      <c r="F9" s="6"/>
    </row>
    <row r="10" spans="1:6" x14ac:dyDescent="0.2">
      <c r="A10" s="6"/>
      <c r="B10" s="6"/>
      <c r="C10" s="6"/>
      <c r="D10" s="6"/>
      <c r="E10" s="97"/>
      <c r="F10" s="6"/>
    </row>
    <row r="11" spans="1:6" x14ac:dyDescent="0.2">
      <c r="A11" s="6">
        <f>'E3'!B11</f>
        <v>512</v>
      </c>
      <c r="B11" s="6">
        <f>'E3'!C11</f>
        <v>10100</v>
      </c>
      <c r="C11" s="6">
        <f>'E3'!D11</f>
        <v>618</v>
      </c>
      <c r="D11" s="6" t="str">
        <f>'E3'!E11</f>
        <v>SQ YD</v>
      </c>
      <c r="E11" s="97" t="str">
        <f>'E3'!F11</f>
        <v>SEALING OF CONCRETE SURFACES (EPOXY URETHANE)</v>
      </c>
      <c r="F11" s="6"/>
    </row>
    <row r="12" spans="1:6" x14ac:dyDescent="0.2">
      <c r="A12" s="6">
        <f>'E3'!B12</f>
        <v>516</v>
      </c>
      <c r="B12" s="6">
        <f>'E3'!C12</f>
        <v>13900</v>
      </c>
      <c r="C12" s="6">
        <f>'E3'!D12</f>
        <v>670</v>
      </c>
      <c r="D12" s="6" t="str">
        <f>'E3'!E12</f>
        <v>SQ FT</v>
      </c>
      <c r="E12" s="97" t="str">
        <f>'E3'!F12</f>
        <v>2" PREFORMED EXPANSION JOINT FILLER</v>
      </c>
      <c r="F12" s="6"/>
    </row>
    <row r="13" spans="1:6" x14ac:dyDescent="0.2">
      <c r="A13" s="6"/>
      <c r="B13" s="6"/>
      <c r="C13" s="6"/>
      <c r="D13" s="6"/>
      <c r="E13" s="97"/>
      <c r="F13" s="6"/>
    </row>
    <row r="14" spans="1:6" x14ac:dyDescent="0.2">
      <c r="A14" s="6">
        <f>'E3'!B14</f>
        <v>840</v>
      </c>
      <c r="B14" s="6">
        <f>'E3'!C14</f>
        <v>20001</v>
      </c>
      <c r="C14" s="6">
        <f>'E3'!D14</f>
        <v>3854</v>
      </c>
      <c r="D14" s="6" t="str">
        <f>'E3'!E14</f>
        <v>SQ FT</v>
      </c>
      <c r="E14" s="97" t="str">
        <f>'E3'!F14</f>
        <v>MECHANICALLY STABILIZED EARTH WALL, AS PER PLAN</v>
      </c>
      <c r="F14" s="6"/>
    </row>
    <row r="15" spans="1:6" x14ac:dyDescent="0.2">
      <c r="A15" s="6">
        <f>'E3'!B15</f>
        <v>840</v>
      </c>
      <c r="B15" s="6">
        <f>'E3'!C15</f>
        <v>22000</v>
      </c>
      <c r="C15" s="6">
        <f>'E3'!D15</f>
        <v>443</v>
      </c>
      <c r="D15" s="6" t="str">
        <f>'E3'!E15</f>
        <v>SQ YD</v>
      </c>
      <c r="E15" s="97" t="str">
        <f>'E3'!F15</f>
        <v>FOUNDATION PREPARATION</v>
      </c>
      <c r="F15" s="6"/>
    </row>
    <row r="16" spans="1:6" x14ac:dyDescent="0.2">
      <c r="A16" s="6">
        <f>'E3'!B16</f>
        <v>840</v>
      </c>
      <c r="B16" s="6">
        <f>'E3'!C16</f>
        <v>23000</v>
      </c>
      <c r="C16" s="6">
        <f>'E3'!D16</f>
        <v>1097</v>
      </c>
      <c r="D16" s="6" t="str">
        <f>'E3'!E16</f>
        <v>CU YD</v>
      </c>
      <c r="E16" s="97" t="str">
        <f>'E3'!F16</f>
        <v>SELECT GRANULAR BACKFILL</v>
      </c>
      <c r="F16" s="6"/>
    </row>
    <row r="17" spans="1:6" x14ac:dyDescent="0.2">
      <c r="A17" s="6">
        <f>'E3'!B17</f>
        <v>840</v>
      </c>
      <c r="B17" s="6">
        <f>'E3'!C17</f>
        <v>25010</v>
      </c>
      <c r="C17" s="6">
        <f>'E3'!D17</f>
        <v>709</v>
      </c>
      <c r="D17" s="6" t="str">
        <f>'E3'!E17</f>
        <v>FT</v>
      </c>
      <c r="E17" s="97" t="str">
        <f>'E3'!F17</f>
        <v>6" DRAINAGE PIPE, PERFORATED</v>
      </c>
      <c r="F17" s="6"/>
    </row>
    <row r="18" spans="1:6" x14ac:dyDescent="0.2">
      <c r="A18" s="6"/>
      <c r="B18" s="6"/>
      <c r="C18" s="6"/>
      <c r="D18" s="6"/>
      <c r="E18" s="97"/>
      <c r="F18" s="6"/>
    </row>
    <row r="19" spans="1:6" x14ac:dyDescent="0.2">
      <c r="A19" s="6">
        <f>'E3'!B19</f>
        <v>840</v>
      </c>
      <c r="B19" s="6">
        <f>'E3'!C19</f>
        <v>26000</v>
      </c>
      <c r="C19" s="6">
        <f>'E3'!D19</f>
        <v>335</v>
      </c>
      <c r="D19" s="6" t="str">
        <f>'E3'!E19</f>
        <v>FT</v>
      </c>
      <c r="E19" s="97" t="str">
        <f>'E3'!F19</f>
        <v>CONCRETE COPING</v>
      </c>
      <c r="F19" s="6"/>
    </row>
    <row r="20" spans="1:6" x14ac:dyDescent="0.2">
      <c r="A20" s="6">
        <f>'E3'!B20</f>
        <v>840</v>
      </c>
      <c r="B20" s="6">
        <f>'E3'!C20</f>
        <v>26050</v>
      </c>
      <c r="C20" s="6">
        <f>'E3'!D20</f>
        <v>3854</v>
      </c>
      <c r="D20" s="6" t="str">
        <f>'E3'!E20</f>
        <v>SQ FT</v>
      </c>
      <c r="E20" s="97" t="str">
        <f>'E3'!F20</f>
        <v>AESTHETIC SURFACE TREATMENT</v>
      </c>
      <c r="F20" s="6"/>
    </row>
    <row r="21" spans="1:6" x14ac:dyDescent="0.2">
      <c r="A21" s="6">
        <f>'E3'!B21</f>
        <v>840</v>
      </c>
      <c r="B21" s="6">
        <f>'E3'!C21</f>
        <v>27000</v>
      </c>
      <c r="C21" s="6">
        <f>'E3'!D21</f>
        <v>5</v>
      </c>
      <c r="D21" s="6" t="str">
        <f>'E3'!E21</f>
        <v>DAY</v>
      </c>
      <c r="E21" s="97" t="str">
        <f>'E3'!F21</f>
        <v>ON-SITE ASSISTANCE</v>
      </c>
      <c r="F21" s="6"/>
    </row>
    <row r="22" spans="1:6" hidden="1" x14ac:dyDescent="0.2">
      <c r="A22" s="6">
        <f>'E3'!B22</f>
        <v>840</v>
      </c>
      <c r="B22" s="6">
        <f>'E3'!C22</f>
        <v>28000</v>
      </c>
      <c r="C22" s="6" t="str">
        <f>'E3'!D22</f>
        <v>LS</v>
      </c>
      <c r="D22" s="6" t="str">
        <f>'E3'!E22</f>
        <v>LS</v>
      </c>
      <c r="E22" s="97" t="str">
        <f>'E3'!F22</f>
        <v>SGB INSPECTION AND COMPACTION TESTING</v>
      </c>
      <c r="F22" s="6"/>
    </row>
    <row r="23" spans="1:6" ht="13.5" thickBot="1" x14ac:dyDescent="0.25">
      <c r="A23" s="95"/>
      <c r="B23" s="95"/>
      <c r="C23" s="95"/>
      <c r="D23" s="95"/>
      <c r="E23" s="98"/>
      <c r="F23" s="95"/>
    </row>
  </sheetData>
  <mergeCells count="7">
    <mergeCell ref="A1:E2"/>
    <mergeCell ref="F1:F4"/>
    <mergeCell ref="A3:A4"/>
    <mergeCell ref="B3:B4"/>
    <mergeCell ref="C3:C4"/>
    <mergeCell ref="D3:D4"/>
    <mergeCell ref="E3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09"/>
  <sheetViews>
    <sheetView tabSelected="1" zoomScaleNormal="100" workbookViewId="0">
      <selection activeCell="F32" sqref="F32"/>
    </sheetView>
  </sheetViews>
  <sheetFormatPr defaultRowHeight="12.75" x14ac:dyDescent="0.2"/>
  <cols>
    <col min="1" max="1" width="10.140625" style="1" bestFit="1" customWidth="1"/>
    <col min="2" max="3" width="13.85546875" style="1" bestFit="1" customWidth="1"/>
    <col min="4" max="4" width="8.85546875" style="1" bestFit="1" customWidth="1"/>
    <col min="5" max="5" width="7.140625" style="1" bestFit="1" customWidth="1"/>
    <col min="6" max="6" width="88.7109375" style="1" bestFit="1" customWidth="1"/>
    <col min="7" max="7" width="18.5703125" style="1" bestFit="1" customWidth="1"/>
    <col min="8" max="8" width="8.85546875" style="1" customWidth="1"/>
    <col min="9" max="12" width="9.140625" style="1"/>
    <col min="13" max="15" width="9" style="1" customWidth="1"/>
    <col min="16" max="16384" width="9.140625" style="1"/>
  </cols>
  <sheetData>
    <row r="1" spans="1:7" ht="12.75" customHeight="1" x14ac:dyDescent="0.2">
      <c r="A1" s="68"/>
      <c r="B1" s="133" t="s">
        <v>29</v>
      </c>
      <c r="C1" s="134"/>
      <c r="D1" s="134"/>
      <c r="E1" s="134"/>
      <c r="F1" s="135"/>
      <c r="G1" s="139" t="s">
        <v>30</v>
      </c>
    </row>
    <row r="2" spans="1:7" ht="12.75" customHeight="1" thickBot="1" x14ac:dyDescent="0.25">
      <c r="A2" s="69"/>
      <c r="B2" s="136"/>
      <c r="C2" s="137"/>
      <c r="D2" s="137"/>
      <c r="E2" s="137"/>
      <c r="F2" s="138"/>
      <c r="G2" s="140"/>
    </row>
    <row r="3" spans="1:7" ht="12.75" customHeight="1" x14ac:dyDescent="0.2">
      <c r="A3" s="149"/>
      <c r="B3" s="146" t="s">
        <v>0</v>
      </c>
      <c r="C3" s="151" t="s">
        <v>4</v>
      </c>
      <c r="D3" s="153" t="s">
        <v>1</v>
      </c>
      <c r="E3" s="154" t="s">
        <v>2</v>
      </c>
      <c r="F3" s="142" t="s">
        <v>3</v>
      </c>
      <c r="G3" s="140"/>
    </row>
    <row r="4" spans="1:7" ht="24" customHeight="1" thickBot="1" x14ac:dyDescent="0.25">
      <c r="A4" s="150"/>
      <c r="B4" s="143"/>
      <c r="C4" s="152"/>
      <c r="D4" s="150"/>
      <c r="E4" s="152"/>
      <c r="F4" s="143"/>
      <c r="G4" s="141"/>
    </row>
    <row r="5" spans="1:7" x14ac:dyDescent="0.2">
      <c r="A5" s="6"/>
      <c r="B5" s="6">
        <v>203</v>
      </c>
      <c r="C5" s="96">
        <v>20000</v>
      </c>
      <c r="D5" s="80">
        <f>C25</f>
        <v>73</v>
      </c>
      <c r="E5" s="76" t="s">
        <v>6</v>
      </c>
      <c r="F5" s="49" t="s">
        <v>62</v>
      </c>
      <c r="G5" s="51"/>
    </row>
    <row r="6" spans="1:7" x14ac:dyDescent="0.2">
      <c r="A6" s="6"/>
      <c r="B6" s="6"/>
      <c r="C6" s="36"/>
      <c r="D6" s="80"/>
      <c r="E6" s="77"/>
      <c r="F6" s="49"/>
      <c r="G6" s="51"/>
    </row>
    <row r="7" spans="1:7" x14ac:dyDescent="0.2">
      <c r="A7" s="6"/>
      <c r="B7" s="42">
        <v>503</v>
      </c>
      <c r="C7" s="36">
        <v>11101</v>
      </c>
      <c r="D7" s="80" t="s">
        <v>75</v>
      </c>
      <c r="E7" s="76" t="s">
        <v>75</v>
      </c>
      <c r="F7" s="49" t="s">
        <v>104</v>
      </c>
      <c r="G7" s="51"/>
    </row>
    <row r="8" spans="1:7" x14ac:dyDescent="0.2">
      <c r="A8" s="42">
        <f>C195</f>
        <v>27989</v>
      </c>
      <c r="B8" s="42">
        <v>509</v>
      </c>
      <c r="C8" s="51">
        <v>10001</v>
      </c>
      <c r="D8" s="80">
        <f>C195</f>
        <v>27989</v>
      </c>
      <c r="E8" s="76" t="s">
        <v>16</v>
      </c>
      <c r="F8" s="49" t="s">
        <v>169</v>
      </c>
      <c r="G8" s="51"/>
    </row>
    <row r="9" spans="1:7" ht="12.75" customHeight="1" x14ac:dyDescent="0.2">
      <c r="A9" s="4">
        <f>C184</f>
        <v>196</v>
      </c>
      <c r="B9" s="4">
        <f>IF(VOID!E5=0, "", VOID!E5)</f>
        <v>511</v>
      </c>
      <c r="C9" s="37">
        <v>53012</v>
      </c>
      <c r="D9" s="80">
        <f>C184</f>
        <v>196</v>
      </c>
      <c r="E9" s="78" t="str">
        <f>IF(VOID!H5=0, "", VOID!H5)</f>
        <v>CU YD</v>
      </c>
      <c r="F9" s="52" t="s">
        <v>98</v>
      </c>
      <c r="G9" s="75"/>
    </row>
    <row r="10" spans="1:7" x14ac:dyDescent="0.2">
      <c r="A10" s="4"/>
      <c r="B10" s="4"/>
      <c r="C10" s="37"/>
      <c r="D10" s="80"/>
      <c r="E10" s="79"/>
      <c r="F10" s="52"/>
      <c r="G10" s="75"/>
    </row>
    <row r="11" spans="1:7" ht="12.75" customHeight="1" x14ac:dyDescent="0.2">
      <c r="A11" s="4">
        <f>C113</f>
        <v>618</v>
      </c>
      <c r="B11" s="4">
        <f>IF(VOID!E7=0, "", VOID!E7)</f>
        <v>512</v>
      </c>
      <c r="C11" s="37">
        <v>10100</v>
      </c>
      <c r="D11" s="80">
        <f>C113</f>
        <v>618</v>
      </c>
      <c r="E11" s="78" t="str">
        <f>IF(VOID!H7=0, "", VOID!H7)</f>
        <v>SQ YD</v>
      </c>
      <c r="F11" s="52" t="s">
        <v>78</v>
      </c>
      <c r="G11" s="75"/>
    </row>
    <row r="12" spans="1:7" ht="12.75" customHeight="1" x14ac:dyDescent="0.2">
      <c r="A12" s="43"/>
      <c r="B12" s="43">
        <v>516</v>
      </c>
      <c r="C12" s="75">
        <v>13900</v>
      </c>
      <c r="D12" s="80">
        <f>C200</f>
        <v>670</v>
      </c>
      <c r="E12" s="79" t="s">
        <v>11</v>
      </c>
      <c r="F12" s="52" t="s">
        <v>100</v>
      </c>
      <c r="G12" s="75"/>
    </row>
    <row r="13" spans="1:7" ht="12.75" customHeight="1" x14ac:dyDescent="0.2">
      <c r="A13" s="43"/>
      <c r="B13" s="43"/>
      <c r="C13" s="75"/>
      <c r="D13" s="80"/>
      <c r="E13" s="79"/>
      <c r="F13" s="52"/>
      <c r="G13" s="75"/>
    </row>
    <row r="14" spans="1:7" ht="12.75" customHeight="1" x14ac:dyDescent="0.2">
      <c r="A14" s="4">
        <f>C131</f>
        <v>3854</v>
      </c>
      <c r="B14" s="4">
        <v>840</v>
      </c>
      <c r="C14" s="37">
        <v>20001</v>
      </c>
      <c r="D14" s="80">
        <f>C131</f>
        <v>3854</v>
      </c>
      <c r="E14" s="79" t="s">
        <v>11</v>
      </c>
      <c r="F14" s="52" t="s">
        <v>67</v>
      </c>
      <c r="G14" s="75" t="s">
        <v>105</v>
      </c>
    </row>
    <row r="15" spans="1:7" ht="12.75" customHeight="1" x14ac:dyDescent="0.2">
      <c r="A15" s="43"/>
      <c r="B15" s="4">
        <v>840</v>
      </c>
      <c r="C15" s="37">
        <v>22000</v>
      </c>
      <c r="D15" s="80">
        <f>C136</f>
        <v>443</v>
      </c>
      <c r="E15" s="79" t="s">
        <v>9</v>
      </c>
      <c r="F15" s="52" t="s">
        <v>69</v>
      </c>
      <c r="G15" s="37"/>
    </row>
    <row r="16" spans="1:7" ht="12.75" customHeight="1" x14ac:dyDescent="0.2">
      <c r="A16" s="4">
        <f>C141</f>
        <v>1097</v>
      </c>
      <c r="B16" s="4">
        <v>840</v>
      </c>
      <c r="C16" s="37">
        <v>23000</v>
      </c>
      <c r="D16" s="80">
        <f>C141</f>
        <v>1097</v>
      </c>
      <c r="E16" s="79" t="s">
        <v>6</v>
      </c>
      <c r="F16" s="52" t="s">
        <v>70</v>
      </c>
      <c r="G16" s="75"/>
    </row>
    <row r="17" spans="1:7" ht="12.75" customHeight="1" x14ac:dyDescent="0.2">
      <c r="A17" s="4">
        <f>C167</f>
        <v>709</v>
      </c>
      <c r="B17" s="4">
        <v>840</v>
      </c>
      <c r="C17" s="37">
        <v>25010</v>
      </c>
      <c r="D17" s="80">
        <f>C167</f>
        <v>709</v>
      </c>
      <c r="E17" s="79" t="s">
        <v>10</v>
      </c>
      <c r="F17" s="52" t="s">
        <v>71</v>
      </c>
      <c r="G17" s="75"/>
    </row>
    <row r="18" spans="1:7" ht="12.75" customHeight="1" x14ac:dyDescent="0.2">
      <c r="A18" s="4"/>
      <c r="B18" s="4"/>
      <c r="C18" s="37"/>
      <c r="D18" s="80"/>
      <c r="E18" s="79"/>
      <c r="F18" s="52"/>
      <c r="G18" s="75"/>
    </row>
    <row r="19" spans="1:7" ht="12.75" customHeight="1" x14ac:dyDescent="0.2">
      <c r="A19" s="4">
        <f>C175</f>
        <v>335</v>
      </c>
      <c r="B19" s="4">
        <v>840</v>
      </c>
      <c r="C19" s="37">
        <v>26000</v>
      </c>
      <c r="D19" s="80">
        <f>C175</f>
        <v>335</v>
      </c>
      <c r="E19" s="79" t="s">
        <v>10</v>
      </c>
      <c r="F19" s="52" t="s">
        <v>72</v>
      </c>
      <c r="G19" s="37"/>
    </row>
    <row r="20" spans="1:7" ht="12.75" customHeight="1" x14ac:dyDescent="0.2">
      <c r="A20" s="4">
        <f>C179</f>
        <v>3854</v>
      </c>
      <c r="B20" s="4">
        <v>840</v>
      </c>
      <c r="C20" s="37">
        <v>26050</v>
      </c>
      <c r="D20" s="80">
        <f>C179</f>
        <v>3854</v>
      </c>
      <c r="E20" s="79" t="s">
        <v>11</v>
      </c>
      <c r="F20" s="52" t="s">
        <v>76</v>
      </c>
      <c r="G20" s="37"/>
    </row>
    <row r="21" spans="1:7" ht="12.75" customHeight="1" x14ac:dyDescent="0.2">
      <c r="A21" s="4">
        <v>5</v>
      </c>
      <c r="B21" s="4">
        <v>840</v>
      </c>
      <c r="C21" s="37">
        <v>27000</v>
      </c>
      <c r="D21" s="4">
        <v>5</v>
      </c>
      <c r="E21" s="79" t="s">
        <v>73</v>
      </c>
      <c r="F21" s="52" t="s">
        <v>74</v>
      </c>
      <c r="G21" s="37"/>
    </row>
    <row r="22" spans="1:7" ht="12.75" hidden="1" customHeight="1" thickBot="1" x14ac:dyDescent="0.25">
      <c r="A22" s="53"/>
      <c r="B22" s="38">
        <v>840</v>
      </c>
      <c r="C22" s="39">
        <v>28000</v>
      </c>
      <c r="D22" s="92" t="s">
        <v>75</v>
      </c>
      <c r="E22" s="93" t="s">
        <v>75</v>
      </c>
      <c r="F22" s="94" t="s">
        <v>103</v>
      </c>
      <c r="G22" s="39"/>
    </row>
    <row r="25" spans="1:7" x14ac:dyDescent="0.2">
      <c r="A25" s="56">
        <v>203</v>
      </c>
      <c r="B25" s="56">
        <v>20000</v>
      </c>
      <c r="C25" s="56">
        <f>ROUNDUP(C49/27,)</f>
        <v>73</v>
      </c>
      <c r="D25" s="57" t="s">
        <v>6</v>
      </c>
      <c r="E25" s="56"/>
      <c r="F25" s="60" t="s">
        <v>62</v>
      </c>
      <c r="G25" s="1" t="s">
        <v>58</v>
      </c>
    </row>
    <row r="27" spans="1:7" ht="15" x14ac:dyDescent="0.25">
      <c r="B27" s="23"/>
      <c r="C27" s="110">
        <f>(7+7)/2</f>
        <v>7</v>
      </c>
      <c r="D27" s="105" t="s">
        <v>11</v>
      </c>
      <c r="E27" s="106"/>
      <c r="F27" s="107" t="s">
        <v>122</v>
      </c>
      <c r="G27" s="147" t="s">
        <v>166</v>
      </c>
    </row>
    <row r="28" spans="1:7" ht="15" x14ac:dyDescent="0.25">
      <c r="B28" s="23"/>
      <c r="C28" s="110">
        <f>-17261.96+17300</f>
        <v>38.040000000000873</v>
      </c>
      <c r="D28" s="105" t="s">
        <v>10</v>
      </c>
      <c r="E28" s="106"/>
      <c r="F28" s="107" t="s">
        <v>123</v>
      </c>
      <c r="G28" s="148"/>
    </row>
    <row r="29" spans="1:7" ht="15" x14ac:dyDescent="0.25">
      <c r="B29" s="23"/>
      <c r="C29" s="110">
        <f>C27*C28</f>
        <v>266.28000000000611</v>
      </c>
      <c r="D29" s="105" t="s">
        <v>82</v>
      </c>
      <c r="E29" s="106"/>
      <c r="F29" s="107" t="s">
        <v>124</v>
      </c>
      <c r="G29" s="148"/>
    </row>
    <row r="30" spans="1:7" ht="15" x14ac:dyDescent="0.25">
      <c r="B30" s="23"/>
      <c r="C30" s="110">
        <f>(7+5.92)/2</f>
        <v>6.46</v>
      </c>
      <c r="D30" s="105" t="s">
        <v>11</v>
      </c>
      <c r="E30" s="106"/>
      <c r="F30" s="107" t="s">
        <v>125</v>
      </c>
      <c r="G30" s="148"/>
    </row>
    <row r="31" spans="1:7" ht="15" x14ac:dyDescent="0.25">
      <c r="B31" s="23"/>
      <c r="C31" s="110">
        <f>17350-17300</f>
        <v>50</v>
      </c>
      <c r="D31" s="105" t="s">
        <v>10</v>
      </c>
      <c r="E31" s="106"/>
      <c r="F31" s="107" t="s">
        <v>126</v>
      </c>
      <c r="G31" s="148"/>
    </row>
    <row r="32" spans="1:7" ht="15" x14ac:dyDescent="0.25">
      <c r="B32" s="23"/>
      <c r="C32" s="110">
        <f>C30*C31</f>
        <v>323</v>
      </c>
      <c r="D32" s="105" t="s">
        <v>82</v>
      </c>
      <c r="E32" s="106"/>
      <c r="F32" s="107" t="s">
        <v>127</v>
      </c>
      <c r="G32" s="148"/>
    </row>
    <row r="33" spans="2:7" ht="15" x14ac:dyDescent="0.25">
      <c r="B33" s="23"/>
      <c r="C33" s="110">
        <f>(5.92+9)/2</f>
        <v>7.46</v>
      </c>
      <c r="D33" s="105" t="s">
        <v>11</v>
      </c>
      <c r="E33" s="106"/>
      <c r="F33" s="107" t="s">
        <v>128</v>
      </c>
      <c r="G33" s="148"/>
    </row>
    <row r="34" spans="2:7" ht="15" x14ac:dyDescent="0.25">
      <c r="B34" s="23"/>
      <c r="C34" s="110">
        <v>50</v>
      </c>
      <c r="D34" s="105" t="s">
        <v>10</v>
      </c>
      <c r="E34" s="106"/>
      <c r="F34" s="107" t="s">
        <v>129</v>
      </c>
      <c r="G34" s="148"/>
    </row>
    <row r="35" spans="2:7" ht="15" x14ac:dyDescent="0.25">
      <c r="B35" s="23"/>
      <c r="C35" s="110">
        <f>C33*C34</f>
        <v>373</v>
      </c>
      <c r="D35" s="105" t="s">
        <v>82</v>
      </c>
      <c r="E35" s="106"/>
      <c r="F35" s="107" t="s">
        <v>130</v>
      </c>
      <c r="G35" s="148"/>
    </row>
    <row r="36" spans="2:7" ht="15" x14ac:dyDescent="0.25">
      <c r="B36" s="23"/>
      <c r="C36" s="110">
        <f>(9+4.67)/2</f>
        <v>6.835</v>
      </c>
      <c r="D36" s="105" t="s">
        <v>11</v>
      </c>
      <c r="E36" s="106"/>
      <c r="F36" s="107" t="s">
        <v>131</v>
      </c>
      <c r="G36" s="148"/>
    </row>
    <row r="37" spans="2:7" ht="15" x14ac:dyDescent="0.25">
      <c r="B37" s="23"/>
      <c r="C37" s="110">
        <v>50</v>
      </c>
      <c r="D37" s="105" t="s">
        <v>10</v>
      </c>
      <c r="E37" s="106"/>
      <c r="F37" s="107" t="s">
        <v>132</v>
      </c>
      <c r="G37" s="148"/>
    </row>
    <row r="38" spans="2:7" ht="15" x14ac:dyDescent="0.25">
      <c r="B38" s="23"/>
      <c r="C38" s="110">
        <f>C36*C37</f>
        <v>341.75</v>
      </c>
      <c r="D38" s="105" t="s">
        <v>82</v>
      </c>
      <c r="E38" s="106"/>
      <c r="F38" s="107" t="s">
        <v>133</v>
      </c>
      <c r="G38" s="148"/>
    </row>
    <row r="39" spans="2:7" ht="15" x14ac:dyDescent="0.25">
      <c r="B39" s="23"/>
      <c r="C39" s="109">
        <f>(4.67+3.64)/2</f>
        <v>4.1550000000000002</v>
      </c>
      <c r="D39" s="105" t="s">
        <v>11</v>
      </c>
      <c r="E39" s="106"/>
      <c r="F39" s="107" t="s">
        <v>134</v>
      </c>
      <c r="G39" s="148"/>
    </row>
    <row r="40" spans="2:7" ht="15" x14ac:dyDescent="0.25">
      <c r="B40" s="23"/>
      <c r="C40" s="109">
        <v>43.89</v>
      </c>
      <c r="D40" s="105" t="s">
        <v>10</v>
      </c>
      <c r="E40" s="106"/>
      <c r="F40" s="107" t="s">
        <v>135</v>
      </c>
      <c r="G40" s="148"/>
    </row>
    <row r="41" spans="2:7" ht="15" x14ac:dyDescent="0.25">
      <c r="B41" s="23"/>
      <c r="C41" s="109">
        <f>C39*C40</f>
        <v>182.36295000000001</v>
      </c>
      <c r="D41" s="105" t="s">
        <v>82</v>
      </c>
      <c r="E41" s="106"/>
      <c r="F41" s="107" t="s">
        <v>136</v>
      </c>
      <c r="G41" s="148"/>
    </row>
    <row r="42" spans="2:7" ht="15" x14ac:dyDescent="0.25">
      <c r="B42" s="23"/>
      <c r="C42" s="109">
        <f>(3.64+2.72)/2</f>
        <v>3.18</v>
      </c>
      <c r="D42" s="105" t="s">
        <v>11</v>
      </c>
      <c r="E42" s="106"/>
      <c r="F42" s="107" t="s">
        <v>137</v>
      </c>
      <c r="G42" s="148"/>
    </row>
    <row r="43" spans="2:7" ht="15" x14ac:dyDescent="0.25">
      <c r="B43" s="23"/>
      <c r="C43" s="109">
        <v>50</v>
      </c>
      <c r="D43" s="105" t="s">
        <v>10</v>
      </c>
      <c r="E43" s="106"/>
      <c r="F43" s="107" t="s">
        <v>139</v>
      </c>
      <c r="G43" s="148"/>
    </row>
    <row r="44" spans="2:7" ht="15" x14ac:dyDescent="0.25">
      <c r="B44" s="23"/>
      <c r="C44" s="109">
        <f>C42*C43</f>
        <v>159</v>
      </c>
      <c r="D44" s="105" t="s">
        <v>82</v>
      </c>
      <c r="E44" s="106"/>
      <c r="F44" s="107" t="s">
        <v>138</v>
      </c>
      <c r="G44" s="148"/>
    </row>
    <row r="45" spans="2:7" ht="15" x14ac:dyDescent="0.25">
      <c r="B45" s="23"/>
      <c r="C45" s="109">
        <f>6</f>
        <v>6</v>
      </c>
      <c r="D45" s="105" t="s">
        <v>11</v>
      </c>
      <c r="E45" s="106"/>
      <c r="F45" s="107" t="s">
        <v>167</v>
      </c>
      <c r="G45" s="148"/>
    </row>
    <row r="46" spans="2:7" ht="15" x14ac:dyDescent="0.25">
      <c r="B46" s="23"/>
      <c r="C46" s="109">
        <v>50</v>
      </c>
      <c r="D46" s="105" t="s">
        <v>10</v>
      </c>
      <c r="E46" s="106"/>
      <c r="F46" s="107" t="s">
        <v>141</v>
      </c>
      <c r="G46" s="148"/>
    </row>
    <row r="47" spans="2:7" ht="15" x14ac:dyDescent="0.25">
      <c r="B47" s="23"/>
      <c r="C47" s="109">
        <f>C45*C46</f>
        <v>300</v>
      </c>
      <c r="D47" s="105" t="s">
        <v>82</v>
      </c>
      <c r="E47" s="106"/>
      <c r="F47" s="107" t="s">
        <v>142</v>
      </c>
      <c r="G47" s="148"/>
    </row>
    <row r="48" spans="2:7" x14ac:dyDescent="0.2">
      <c r="B48" s="23"/>
      <c r="C48" s="106"/>
      <c r="D48" s="106"/>
      <c r="E48" s="106"/>
      <c r="F48" s="106"/>
    </row>
    <row r="49" spans="1:7" x14ac:dyDescent="0.2">
      <c r="B49" s="23"/>
      <c r="C49" s="108">
        <f>C29+C32+C35+C38+C41+C44+C47</f>
        <v>1945.3929500000061</v>
      </c>
      <c r="D49" s="105" t="s">
        <v>82</v>
      </c>
      <c r="E49" s="106"/>
      <c r="F49" s="107" t="s">
        <v>121</v>
      </c>
    </row>
    <row r="50" spans="1:7" x14ac:dyDescent="0.2">
      <c r="F50" s="2"/>
    </row>
    <row r="51" spans="1:7" x14ac:dyDescent="0.2">
      <c r="A51" s="56">
        <v>203</v>
      </c>
      <c r="B51" s="56">
        <v>35110</v>
      </c>
      <c r="C51" s="56">
        <f>ROUNDUP(C69/27,)</f>
        <v>935</v>
      </c>
      <c r="D51" s="57" t="s">
        <v>6</v>
      </c>
      <c r="E51" s="56"/>
      <c r="F51" s="60" t="s">
        <v>63</v>
      </c>
      <c r="G51" s="1" t="s">
        <v>58</v>
      </c>
    </row>
    <row r="52" spans="1:7" x14ac:dyDescent="0.2">
      <c r="A52" s="23"/>
      <c r="B52" s="23"/>
      <c r="C52" s="23"/>
      <c r="D52" s="58"/>
      <c r="E52" s="23"/>
      <c r="F52" s="61"/>
    </row>
    <row r="53" spans="1:7" ht="15" x14ac:dyDescent="0.25">
      <c r="A53" s="111"/>
      <c r="B53" s="111"/>
      <c r="C53" s="112">
        <f>(183.64+183.64)/2</f>
        <v>183.64</v>
      </c>
      <c r="D53" s="111" t="s">
        <v>11</v>
      </c>
      <c r="E53" s="111"/>
      <c r="F53" s="113" t="s">
        <v>106</v>
      </c>
      <c r="G53" s="147" t="s">
        <v>147</v>
      </c>
    </row>
    <row r="54" spans="1:7" ht="15" x14ac:dyDescent="0.25">
      <c r="A54" s="111"/>
      <c r="B54" s="111"/>
      <c r="C54" s="112">
        <v>42.82</v>
      </c>
      <c r="D54" s="111" t="s">
        <v>10</v>
      </c>
      <c r="E54" s="111"/>
      <c r="F54" s="113" t="s">
        <v>107</v>
      </c>
      <c r="G54" s="148"/>
    </row>
    <row r="55" spans="1:7" ht="15" x14ac:dyDescent="0.25">
      <c r="A55" s="111"/>
      <c r="B55" s="111"/>
      <c r="C55" s="112">
        <f>C53*C54</f>
        <v>7863.4647999999997</v>
      </c>
      <c r="D55" s="111" t="s">
        <v>82</v>
      </c>
      <c r="E55" s="111"/>
      <c r="F55" s="113" t="s">
        <v>108</v>
      </c>
      <c r="G55" s="148"/>
    </row>
    <row r="56" spans="1:7" ht="15" x14ac:dyDescent="0.25">
      <c r="A56" s="111"/>
      <c r="B56" s="111"/>
      <c r="C56" s="112">
        <f>(91.41+87.1)/2</f>
        <v>89.254999999999995</v>
      </c>
      <c r="D56" s="111" t="s">
        <v>11</v>
      </c>
      <c r="E56" s="111"/>
      <c r="F56" s="113" t="s">
        <v>109</v>
      </c>
      <c r="G56" s="148"/>
    </row>
    <row r="57" spans="1:7" ht="15" x14ac:dyDescent="0.25">
      <c r="A57" s="111"/>
      <c r="B57" s="111"/>
      <c r="C57" s="112">
        <v>52.16</v>
      </c>
      <c r="D57" s="111" t="s">
        <v>10</v>
      </c>
      <c r="E57" s="111"/>
      <c r="F57" s="113" t="s">
        <v>110</v>
      </c>
      <c r="G57" s="148"/>
    </row>
    <row r="58" spans="1:7" ht="15" x14ac:dyDescent="0.25">
      <c r="A58" s="111"/>
      <c r="B58" s="111"/>
      <c r="C58" s="112">
        <f>C56*C57</f>
        <v>4655.5407999999998</v>
      </c>
      <c r="D58" s="111" t="s">
        <v>82</v>
      </c>
      <c r="E58" s="111"/>
      <c r="F58" s="113" t="s">
        <v>111</v>
      </c>
      <c r="G58" s="148"/>
    </row>
    <row r="59" spans="1:7" ht="15" x14ac:dyDescent="0.25">
      <c r="A59" s="111"/>
      <c r="B59" s="111"/>
      <c r="C59" s="112">
        <f>(87.1+95.44)/2</f>
        <v>91.27</v>
      </c>
      <c r="D59" s="111" t="s">
        <v>11</v>
      </c>
      <c r="E59" s="111"/>
      <c r="F59" s="113" t="s">
        <v>112</v>
      </c>
      <c r="G59" s="148"/>
    </row>
    <row r="60" spans="1:7" ht="15" x14ac:dyDescent="0.25">
      <c r="A60" s="111"/>
      <c r="B60" s="111"/>
      <c r="C60" s="112">
        <v>50</v>
      </c>
      <c r="D60" s="111" t="s">
        <v>10</v>
      </c>
      <c r="E60" s="111"/>
      <c r="F60" s="113" t="s">
        <v>113</v>
      </c>
      <c r="G60" s="148"/>
    </row>
    <row r="61" spans="1:7" ht="15" x14ac:dyDescent="0.25">
      <c r="A61" s="111"/>
      <c r="B61" s="111"/>
      <c r="C61" s="112">
        <f>C59*C60</f>
        <v>4563.5</v>
      </c>
      <c r="D61" s="111" t="s">
        <v>82</v>
      </c>
      <c r="E61" s="111"/>
      <c r="F61" s="113" t="s">
        <v>114</v>
      </c>
      <c r="G61" s="148"/>
    </row>
    <row r="62" spans="1:7" ht="15" x14ac:dyDescent="0.25">
      <c r="A62" s="111"/>
      <c r="B62" s="111"/>
      <c r="C62" s="112">
        <f>(95.44+77.65)/2</f>
        <v>86.545000000000002</v>
      </c>
      <c r="D62" s="111" t="s">
        <v>11</v>
      </c>
      <c r="E62" s="111"/>
      <c r="F62" s="113" t="s">
        <v>115</v>
      </c>
      <c r="G62" s="148"/>
    </row>
    <row r="63" spans="1:7" ht="15" x14ac:dyDescent="0.25">
      <c r="A63" s="111"/>
      <c r="B63" s="111"/>
      <c r="C63" s="112">
        <v>50</v>
      </c>
      <c r="D63" s="111" t="s">
        <v>10</v>
      </c>
      <c r="E63" s="111"/>
      <c r="F63" s="113" t="s">
        <v>116</v>
      </c>
      <c r="G63" s="148"/>
    </row>
    <row r="64" spans="1:7" ht="15" x14ac:dyDescent="0.25">
      <c r="A64" s="111"/>
      <c r="B64" s="111"/>
      <c r="C64" s="112">
        <f>C62*C63</f>
        <v>4327.25</v>
      </c>
      <c r="D64" s="111" t="s">
        <v>82</v>
      </c>
      <c r="E64" s="111"/>
      <c r="F64" s="113" t="s">
        <v>117</v>
      </c>
      <c r="G64" s="148"/>
    </row>
    <row r="65" spans="1:7" ht="15" x14ac:dyDescent="0.25">
      <c r="A65" s="111"/>
      <c r="B65" s="111"/>
      <c r="C65" s="112">
        <f>(77.65+96.07)/2</f>
        <v>86.86</v>
      </c>
      <c r="D65" s="111" t="s">
        <v>11</v>
      </c>
      <c r="E65" s="111"/>
      <c r="F65" s="113" t="s">
        <v>118</v>
      </c>
      <c r="G65" s="148"/>
    </row>
    <row r="66" spans="1:7" ht="15" x14ac:dyDescent="0.25">
      <c r="A66" s="111"/>
      <c r="B66" s="111"/>
      <c r="C66" s="112">
        <v>43.89</v>
      </c>
      <c r="D66" s="111" t="s">
        <v>10</v>
      </c>
      <c r="E66" s="111"/>
      <c r="F66" s="113" t="s">
        <v>119</v>
      </c>
      <c r="G66" s="148"/>
    </row>
    <row r="67" spans="1:7" ht="15" x14ac:dyDescent="0.25">
      <c r="A67" s="111"/>
      <c r="B67" s="111"/>
      <c r="C67" s="112">
        <f>C65*C66</f>
        <v>3812.2854000000002</v>
      </c>
      <c r="D67" s="111" t="s">
        <v>82</v>
      </c>
      <c r="E67" s="111"/>
      <c r="F67" s="113" t="s">
        <v>120</v>
      </c>
      <c r="G67" s="148"/>
    </row>
    <row r="68" spans="1:7" x14ac:dyDescent="0.2">
      <c r="A68" s="111"/>
      <c r="B68" s="111"/>
      <c r="C68" s="114"/>
      <c r="D68" s="111"/>
      <c r="E68" s="111"/>
      <c r="F68" s="113"/>
      <c r="G68" s="148"/>
    </row>
    <row r="69" spans="1:7" x14ac:dyDescent="0.2">
      <c r="A69" s="111"/>
      <c r="B69" s="111"/>
      <c r="C69" s="111">
        <f>C55+C58+C61+C64+C67</f>
        <v>25222.041000000001</v>
      </c>
      <c r="D69" s="111" t="s">
        <v>82</v>
      </c>
      <c r="E69" s="111"/>
      <c r="F69" s="113" t="s">
        <v>83</v>
      </c>
      <c r="G69" s="148"/>
    </row>
    <row r="70" spans="1:7" x14ac:dyDescent="0.2">
      <c r="A70" s="23"/>
      <c r="B70" s="23"/>
      <c r="C70" s="23"/>
      <c r="D70" s="23"/>
      <c r="E70" s="23"/>
      <c r="F70" s="25"/>
    </row>
    <row r="71" spans="1:7" x14ac:dyDescent="0.2">
      <c r="A71" s="23"/>
      <c r="B71" s="23"/>
      <c r="C71" s="23"/>
      <c r="D71" s="23"/>
      <c r="E71" s="23"/>
      <c r="F71" s="25"/>
    </row>
    <row r="72" spans="1:7" x14ac:dyDescent="0.2">
      <c r="A72" s="126">
        <v>203</v>
      </c>
      <c r="B72" s="126">
        <v>35120</v>
      </c>
      <c r="C72" s="126">
        <f>ROUNDUP(C96/27,)</f>
        <v>158</v>
      </c>
      <c r="D72" s="126" t="s">
        <v>6</v>
      </c>
      <c r="E72" s="126"/>
      <c r="F72" s="127" t="s">
        <v>81</v>
      </c>
      <c r="G72" s="1" t="s">
        <v>58</v>
      </c>
    </row>
    <row r="73" spans="1:7" x14ac:dyDescent="0.2">
      <c r="F73" s="2"/>
    </row>
    <row r="74" spans="1:7" ht="15" x14ac:dyDescent="0.25">
      <c r="B74" s="128"/>
      <c r="C74" s="129">
        <f>(12.42+12.42)/2</f>
        <v>12.42</v>
      </c>
      <c r="D74" s="128" t="s">
        <v>11</v>
      </c>
      <c r="E74" s="128"/>
      <c r="F74" s="130" t="s">
        <v>122</v>
      </c>
    </row>
    <row r="75" spans="1:7" ht="15" x14ac:dyDescent="0.25">
      <c r="B75" s="128"/>
      <c r="C75" s="129">
        <f>-17261.96+17300</f>
        <v>38.040000000000873</v>
      </c>
      <c r="D75" s="128" t="s">
        <v>10</v>
      </c>
      <c r="E75" s="128"/>
      <c r="F75" s="130" t="s">
        <v>123</v>
      </c>
    </row>
    <row r="76" spans="1:7" ht="15" x14ac:dyDescent="0.25">
      <c r="B76" s="128"/>
      <c r="C76" s="129">
        <f>C74*C75</f>
        <v>472.45680000001084</v>
      </c>
      <c r="D76" s="128" t="s">
        <v>82</v>
      </c>
      <c r="E76" s="128"/>
      <c r="F76" s="130" t="s">
        <v>124</v>
      </c>
    </row>
    <row r="77" spans="1:7" ht="15" x14ac:dyDescent="0.25">
      <c r="B77" s="128"/>
      <c r="C77" s="129">
        <f>(12.42+12.42)/2</f>
        <v>12.42</v>
      </c>
      <c r="D77" s="128" t="s">
        <v>11</v>
      </c>
      <c r="E77" s="128"/>
      <c r="F77" s="130" t="s">
        <v>125</v>
      </c>
    </row>
    <row r="78" spans="1:7" ht="15" x14ac:dyDescent="0.25">
      <c r="B78" s="128"/>
      <c r="C78" s="129">
        <f>17350-17300</f>
        <v>50</v>
      </c>
      <c r="D78" s="128" t="s">
        <v>10</v>
      </c>
      <c r="E78" s="128"/>
      <c r="F78" s="130" t="s">
        <v>126</v>
      </c>
    </row>
    <row r="79" spans="1:7" ht="15" x14ac:dyDescent="0.25">
      <c r="B79" s="128"/>
      <c r="C79" s="129">
        <f>C77*C78</f>
        <v>621</v>
      </c>
      <c r="D79" s="128" t="s">
        <v>82</v>
      </c>
      <c r="E79" s="128"/>
      <c r="F79" s="130" t="s">
        <v>127</v>
      </c>
    </row>
    <row r="80" spans="1:7" ht="15" x14ac:dyDescent="0.25">
      <c r="B80" s="128"/>
      <c r="C80" s="129">
        <f>(12.42+13.08)/2</f>
        <v>12.75</v>
      </c>
      <c r="D80" s="128" t="s">
        <v>11</v>
      </c>
      <c r="E80" s="128"/>
      <c r="F80" s="130" t="s">
        <v>128</v>
      </c>
    </row>
    <row r="81" spans="2:6" ht="15" x14ac:dyDescent="0.25">
      <c r="B81" s="128"/>
      <c r="C81" s="129">
        <v>50</v>
      </c>
      <c r="D81" s="128" t="s">
        <v>10</v>
      </c>
      <c r="E81" s="128"/>
      <c r="F81" s="130" t="s">
        <v>129</v>
      </c>
    </row>
    <row r="82" spans="2:6" ht="15" x14ac:dyDescent="0.25">
      <c r="B82" s="128"/>
      <c r="C82" s="129">
        <f>C80*C81</f>
        <v>637.5</v>
      </c>
      <c r="D82" s="128" t="s">
        <v>82</v>
      </c>
      <c r="E82" s="128"/>
      <c r="F82" s="130" t="s">
        <v>130</v>
      </c>
    </row>
    <row r="83" spans="2:6" ht="15" x14ac:dyDescent="0.25">
      <c r="B83" s="128"/>
      <c r="C83" s="129">
        <f>(13.08+13.08)/2</f>
        <v>13.08</v>
      </c>
      <c r="D83" s="128" t="s">
        <v>11</v>
      </c>
      <c r="E83" s="128"/>
      <c r="F83" s="130" t="s">
        <v>131</v>
      </c>
    </row>
    <row r="84" spans="2:6" ht="15" x14ac:dyDescent="0.25">
      <c r="B84" s="128"/>
      <c r="C84" s="129">
        <v>50</v>
      </c>
      <c r="D84" s="128" t="s">
        <v>10</v>
      </c>
      <c r="E84" s="128"/>
      <c r="F84" s="130" t="s">
        <v>132</v>
      </c>
    </row>
    <row r="85" spans="2:6" ht="15" x14ac:dyDescent="0.25">
      <c r="B85" s="128"/>
      <c r="C85" s="129">
        <f>C83*C84</f>
        <v>654</v>
      </c>
      <c r="D85" s="128" t="s">
        <v>82</v>
      </c>
      <c r="E85" s="128"/>
      <c r="F85" s="130" t="s">
        <v>133</v>
      </c>
    </row>
    <row r="86" spans="2:6" ht="15" x14ac:dyDescent="0.25">
      <c r="B86" s="128"/>
      <c r="C86" s="131">
        <f>(13.08+12.98)/2</f>
        <v>13.030000000000001</v>
      </c>
      <c r="D86" s="128" t="s">
        <v>11</v>
      </c>
      <c r="E86" s="128"/>
      <c r="F86" s="130" t="s">
        <v>134</v>
      </c>
    </row>
    <row r="87" spans="2:6" ht="15" x14ac:dyDescent="0.25">
      <c r="B87" s="128"/>
      <c r="C87" s="131">
        <v>43.89</v>
      </c>
      <c r="D87" s="128" t="s">
        <v>10</v>
      </c>
      <c r="E87" s="128"/>
      <c r="F87" s="130" t="s">
        <v>135</v>
      </c>
    </row>
    <row r="88" spans="2:6" ht="15" x14ac:dyDescent="0.25">
      <c r="B88" s="128"/>
      <c r="C88" s="131">
        <f>C86*C87</f>
        <v>571.88670000000002</v>
      </c>
      <c r="D88" s="128" t="s">
        <v>82</v>
      </c>
      <c r="E88" s="128"/>
      <c r="F88" s="130" t="s">
        <v>136</v>
      </c>
    </row>
    <row r="89" spans="2:6" ht="15" x14ac:dyDescent="0.25">
      <c r="B89" s="128"/>
      <c r="C89" s="131">
        <f>(12.98+12.98)/2</f>
        <v>12.98</v>
      </c>
      <c r="D89" s="128" t="s">
        <v>11</v>
      </c>
      <c r="E89" s="128"/>
      <c r="F89" s="130" t="s">
        <v>137</v>
      </c>
    </row>
    <row r="90" spans="2:6" ht="15" x14ac:dyDescent="0.25">
      <c r="B90" s="128"/>
      <c r="C90" s="131">
        <v>50</v>
      </c>
      <c r="D90" s="128" t="s">
        <v>10</v>
      </c>
      <c r="E90" s="128"/>
      <c r="F90" s="130" t="s">
        <v>139</v>
      </c>
    </row>
    <row r="91" spans="2:6" ht="15" x14ac:dyDescent="0.25">
      <c r="B91" s="128"/>
      <c r="C91" s="131">
        <f>C89*C90</f>
        <v>649</v>
      </c>
      <c r="D91" s="128" t="s">
        <v>82</v>
      </c>
      <c r="E91" s="128"/>
      <c r="F91" s="130" t="s">
        <v>138</v>
      </c>
    </row>
    <row r="92" spans="2:6" ht="15" x14ac:dyDescent="0.25">
      <c r="B92" s="128"/>
      <c r="C92" s="131">
        <f>(12.98+12.98)/2</f>
        <v>12.98</v>
      </c>
      <c r="D92" s="128" t="s">
        <v>11</v>
      </c>
      <c r="E92" s="128"/>
      <c r="F92" s="130" t="s">
        <v>140</v>
      </c>
    </row>
    <row r="93" spans="2:6" ht="15" x14ac:dyDescent="0.25">
      <c r="B93" s="128"/>
      <c r="C93" s="131">
        <v>50</v>
      </c>
      <c r="D93" s="128" t="s">
        <v>10</v>
      </c>
      <c r="E93" s="128"/>
      <c r="F93" s="130" t="s">
        <v>141</v>
      </c>
    </row>
    <row r="94" spans="2:6" ht="15" x14ac:dyDescent="0.25">
      <c r="B94" s="128"/>
      <c r="C94" s="131">
        <f>C92*C93</f>
        <v>649</v>
      </c>
      <c r="D94" s="128" t="s">
        <v>82</v>
      </c>
      <c r="E94" s="128"/>
      <c r="F94" s="130" t="s">
        <v>142</v>
      </c>
    </row>
    <row r="95" spans="2:6" x14ac:dyDescent="0.2">
      <c r="B95" s="128"/>
      <c r="C95" s="128"/>
      <c r="D95" s="128"/>
      <c r="E95" s="128"/>
      <c r="F95" s="128"/>
    </row>
    <row r="96" spans="2:6" x14ac:dyDescent="0.2">
      <c r="B96" s="128"/>
      <c r="C96" s="132">
        <f>C76+C79+C82+C85+C88+C91+C94</f>
        <v>4254.8435000000109</v>
      </c>
      <c r="D96" s="128" t="s">
        <v>82</v>
      </c>
      <c r="E96" s="128"/>
      <c r="F96" s="130" t="s">
        <v>121</v>
      </c>
    </row>
    <row r="97" spans="1:6" x14ac:dyDescent="0.2">
      <c r="D97" s="46"/>
      <c r="F97" s="45"/>
    </row>
    <row r="98" spans="1:6" x14ac:dyDescent="0.2">
      <c r="F98" s="2"/>
    </row>
    <row r="99" spans="1:6" x14ac:dyDescent="0.2">
      <c r="F99" s="2"/>
    </row>
    <row r="100" spans="1:6" x14ac:dyDescent="0.2">
      <c r="A100" s="81">
        <v>512</v>
      </c>
      <c r="B100" s="81">
        <v>10001</v>
      </c>
      <c r="C100" s="81">
        <f>ROUNDUP(C111/9,)</f>
        <v>2327</v>
      </c>
      <c r="D100" s="81" t="s">
        <v>9</v>
      </c>
      <c r="E100" s="81"/>
      <c r="F100" s="82" t="s">
        <v>77</v>
      </c>
    </row>
    <row r="101" spans="1:6" x14ac:dyDescent="0.2">
      <c r="A101" s="83"/>
      <c r="B101" s="83"/>
      <c r="C101" s="83"/>
      <c r="D101" s="83"/>
      <c r="E101" s="83"/>
      <c r="F101" s="84"/>
    </row>
    <row r="102" spans="1:6" x14ac:dyDescent="0.2">
      <c r="A102" s="83"/>
      <c r="B102" s="101"/>
      <c r="C102" s="101">
        <v>18863.060000000001</v>
      </c>
      <c r="D102" s="101" t="s">
        <v>11</v>
      </c>
      <c r="E102" s="101"/>
      <c r="F102" s="102" t="s">
        <v>84</v>
      </c>
    </row>
    <row r="103" spans="1:6" x14ac:dyDescent="0.2">
      <c r="A103" s="83"/>
      <c r="B103" s="101"/>
      <c r="C103" s="101"/>
      <c r="D103" s="101"/>
      <c r="E103" s="101"/>
      <c r="F103" s="102"/>
    </row>
    <row r="104" spans="1:6" ht="15" x14ac:dyDescent="0.25">
      <c r="A104" s="83"/>
      <c r="B104" s="101"/>
      <c r="C104" s="103">
        <v>2</v>
      </c>
      <c r="D104" s="101" t="s">
        <v>10</v>
      </c>
      <c r="E104" s="101"/>
      <c r="F104" s="102" t="s">
        <v>85</v>
      </c>
    </row>
    <row r="105" spans="1:6" ht="15" x14ac:dyDescent="0.25">
      <c r="A105" s="83"/>
      <c r="B105" s="101"/>
      <c r="C105" s="103">
        <v>1</v>
      </c>
      <c r="D105" s="101" t="s">
        <v>10</v>
      </c>
      <c r="E105" s="101"/>
      <c r="F105" s="102" t="s">
        <v>86</v>
      </c>
    </row>
    <row r="106" spans="1:6" ht="15" x14ac:dyDescent="0.25">
      <c r="A106" s="83"/>
      <c r="B106" s="101"/>
      <c r="C106" s="103">
        <v>0.5</v>
      </c>
      <c r="D106" s="101" t="s">
        <v>10</v>
      </c>
      <c r="E106" s="101"/>
      <c r="F106" s="102" t="s">
        <v>87</v>
      </c>
    </row>
    <row r="107" spans="1:6" ht="15" x14ac:dyDescent="0.25">
      <c r="A107" s="83"/>
      <c r="B107" s="101"/>
      <c r="C107" s="103">
        <v>593.12</v>
      </c>
      <c r="D107" s="101" t="s">
        <v>10</v>
      </c>
      <c r="E107" s="101"/>
      <c r="F107" s="102" t="s">
        <v>90</v>
      </c>
    </row>
    <row r="108" spans="1:6" x14ac:dyDescent="0.2">
      <c r="A108" s="83"/>
      <c r="B108" s="101"/>
      <c r="C108" s="101"/>
      <c r="D108" s="101"/>
      <c r="E108" s="101"/>
      <c r="F108" s="102"/>
    </row>
    <row r="109" spans="1:6" x14ac:dyDescent="0.2">
      <c r="A109" s="83"/>
      <c r="B109" s="101"/>
      <c r="C109" s="101">
        <f>(C104+C105+C106)*C107</f>
        <v>2075.92</v>
      </c>
      <c r="D109" s="101" t="s">
        <v>11</v>
      </c>
      <c r="E109" s="101"/>
      <c r="F109" s="102" t="s">
        <v>88</v>
      </c>
    </row>
    <row r="110" spans="1:6" x14ac:dyDescent="0.2">
      <c r="A110" s="83"/>
      <c r="B110" s="101"/>
      <c r="C110" s="101"/>
      <c r="D110" s="101"/>
      <c r="E110" s="101"/>
      <c r="F110" s="102"/>
    </row>
    <row r="111" spans="1:6" x14ac:dyDescent="0.2">
      <c r="A111" s="83"/>
      <c r="B111" s="101"/>
      <c r="C111" s="101">
        <f>C102+C109</f>
        <v>20938.980000000003</v>
      </c>
      <c r="D111" s="101" t="s">
        <v>11</v>
      </c>
      <c r="E111" s="101"/>
      <c r="F111" s="102" t="s">
        <v>89</v>
      </c>
    </row>
    <row r="112" spans="1:6" x14ac:dyDescent="0.2">
      <c r="F112" s="2"/>
    </row>
    <row r="113" spans="1:7" x14ac:dyDescent="0.2">
      <c r="A113" s="56">
        <v>512</v>
      </c>
      <c r="B113" s="56">
        <v>10100</v>
      </c>
      <c r="C113" s="56">
        <f>ROUNDUP(C129/9,)</f>
        <v>618</v>
      </c>
      <c r="D113" s="56" t="s">
        <v>9</v>
      </c>
      <c r="E113" s="56"/>
      <c r="F113" s="55" t="s">
        <v>78</v>
      </c>
      <c r="G113" s="1" t="s">
        <v>58</v>
      </c>
    </row>
    <row r="114" spans="1:7" x14ac:dyDescent="0.2">
      <c r="F114" s="2"/>
    </row>
    <row r="115" spans="1:7" ht="15" x14ac:dyDescent="0.25">
      <c r="B115" s="106"/>
      <c r="C115" s="104">
        <v>2239</v>
      </c>
      <c r="D115" s="106" t="s">
        <v>11</v>
      </c>
      <c r="E115" s="106"/>
      <c r="F115" s="107" t="s">
        <v>151</v>
      </c>
    </row>
    <row r="116" spans="1:7" x14ac:dyDescent="0.2">
      <c r="B116" s="106"/>
      <c r="C116" s="106"/>
      <c r="D116" s="106"/>
      <c r="E116" s="106"/>
      <c r="F116" s="116"/>
    </row>
    <row r="117" spans="1:7" ht="15" x14ac:dyDescent="0.25">
      <c r="B117" s="106"/>
      <c r="C117" s="104">
        <v>0.83</v>
      </c>
      <c r="D117" s="106" t="s">
        <v>10</v>
      </c>
      <c r="E117" s="106"/>
      <c r="F117" s="116" t="s">
        <v>86</v>
      </c>
    </row>
    <row r="118" spans="1:7" ht="15" x14ac:dyDescent="0.25">
      <c r="B118" s="106"/>
      <c r="C118" s="104">
        <f>C177</f>
        <v>335</v>
      </c>
      <c r="D118" s="105" t="s">
        <v>10</v>
      </c>
      <c r="E118" s="106"/>
      <c r="F118" s="107" t="s">
        <v>158</v>
      </c>
    </row>
    <row r="119" spans="1:7" x14ac:dyDescent="0.2">
      <c r="B119" s="106"/>
      <c r="C119" s="106">
        <f>C117*C118</f>
        <v>278.05</v>
      </c>
      <c r="D119" s="106" t="s">
        <v>11</v>
      </c>
      <c r="E119" s="106"/>
      <c r="F119" s="116" t="s">
        <v>168</v>
      </c>
    </row>
    <row r="120" spans="1:7" x14ac:dyDescent="0.2">
      <c r="B120" s="106"/>
      <c r="C120" s="106"/>
      <c r="D120" s="106"/>
      <c r="E120" s="106"/>
      <c r="F120" s="116"/>
    </row>
    <row r="121" spans="1:7" ht="15" x14ac:dyDescent="0.25">
      <c r="B121" s="106"/>
      <c r="C121" s="104">
        <v>10.35</v>
      </c>
      <c r="D121" s="105" t="s">
        <v>10</v>
      </c>
      <c r="E121" s="106"/>
      <c r="F121" s="107" t="s">
        <v>159</v>
      </c>
    </row>
    <row r="122" spans="1:7" ht="15" x14ac:dyDescent="0.25">
      <c r="B122" s="106"/>
      <c r="C122" s="110">
        <f>C186</f>
        <v>257.47000000000116</v>
      </c>
      <c r="D122" s="105" t="s">
        <v>10</v>
      </c>
      <c r="E122" s="106"/>
      <c r="F122" s="107" t="s">
        <v>161</v>
      </c>
    </row>
    <row r="123" spans="1:7" ht="15" x14ac:dyDescent="0.25">
      <c r="B123" s="106"/>
      <c r="C123" s="104">
        <v>8</v>
      </c>
      <c r="D123" s="105" t="s">
        <v>10</v>
      </c>
      <c r="E123" s="106"/>
      <c r="F123" s="107" t="s">
        <v>160</v>
      </c>
    </row>
    <row r="124" spans="1:7" ht="15" x14ac:dyDescent="0.25">
      <c r="B124" s="106"/>
      <c r="C124" s="110">
        <f>C188</f>
        <v>30</v>
      </c>
      <c r="D124" s="105" t="s">
        <v>10</v>
      </c>
      <c r="E124" s="106"/>
      <c r="F124" s="107" t="s">
        <v>162</v>
      </c>
    </row>
    <row r="125" spans="1:7" ht="15" x14ac:dyDescent="0.25">
      <c r="B125" s="106"/>
      <c r="C125" s="104">
        <f>(C121+C123)/2</f>
        <v>9.1750000000000007</v>
      </c>
      <c r="D125" s="105" t="s">
        <v>10</v>
      </c>
      <c r="E125" s="106"/>
      <c r="F125" s="107" t="s">
        <v>163</v>
      </c>
    </row>
    <row r="126" spans="1:7" ht="15" x14ac:dyDescent="0.25">
      <c r="B126" s="106"/>
      <c r="C126" s="110">
        <f>C190</f>
        <v>15</v>
      </c>
      <c r="D126" s="105" t="s">
        <v>10</v>
      </c>
      <c r="E126" s="106"/>
      <c r="F126" s="107" t="s">
        <v>164</v>
      </c>
    </row>
    <row r="127" spans="1:7" x14ac:dyDescent="0.2">
      <c r="B127" s="106"/>
      <c r="C127" s="106">
        <f>C121*C122+C123*C124+C125*C126</f>
        <v>3042.4395000000118</v>
      </c>
      <c r="D127" s="106" t="s">
        <v>11</v>
      </c>
      <c r="E127" s="106"/>
      <c r="F127" s="107" t="s">
        <v>165</v>
      </c>
    </row>
    <row r="128" spans="1:7" x14ac:dyDescent="0.2">
      <c r="B128" s="106"/>
      <c r="C128" s="106"/>
      <c r="D128" s="106"/>
      <c r="E128" s="106"/>
      <c r="F128" s="116"/>
    </row>
    <row r="129" spans="1:7" x14ac:dyDescent="0.2">
      <c r="B129" s="106"/>
      <c r="C129" s="106">
        <f>C115+C119+C127</f>
        <v>5559.4895000000124</v>
      </c>
      <c r="D129" s="106" t="s">
        <v>11</v>
      </c>
      <c r="E129" s="106"/>
      <c r="F129" s="116" t="s">
        <v>89</v>
      </c>
    </row>
    <row r="130" spans="1:7" x14ac:dyDescent="0.2">
      <c r="F130" s="2"/>
    </row>
    <row r="131" spans="1:7" x14ac:dyDescent="0.2">
      <c r="A131" s="56">
        <v>840</v>
      </c>
      <c r="B131" s="56">
        <v>20001</v>
      </c>
      <c r="C131" s="56">
        <f>ROUNDUP(C133,)</f>
        <v>3854</v>
      </c>
      <c r="D131" s="56" t="s">
        <v>11</v>
      </c>
      <c r="E131" s="56"/>
      <c r="F131" s="55" t="s">
        <v>67</v>
      </c>
      <c r="G131" s="1" t="s">
        <v>58</v>
      </c>
    </row>
    <row r="132" spans="1:7" x14ac:dyDescent="0.2">
      <c r="F132" s="2"/>
    </row>
    <row r="133" spans="1:7" ht="15" x14ac:dyDescent="0.25">
      <c r="B133" s="106"/>
      <c r="C133" s="104">
        <v>3854</v>
      </c>
      <c r="D133" s="115" t="s">
        <v>11</v>
      </c>
      <c r="E133" s="106"/>
      <c r="F133" s="107" t="s">
        <v>99</v>
      </c>
    </row>
    <row r="134" spans="1:7" x14ac:dyDescent="0.2">
      <c r="D134" s="46"/>
      <c r="F134" s="45"/>
    </row>
    <row r="135" spans="1:7" x14ac:dyDescent="0.2">
      <c r="F135" s="2"/>
    </row>
    <row r="136" spans="1:7" x14ac:dyDescent="0.2">
      <c r="A136" s="56">
        <v>840</v>
      </c>
      <c r="B136" s="56">
        <v>22000</v>
      </c>
      <c r="C136" s="56">
        <f>ROUNDUP(C138/9,)</f>
        <v>443</v>
      </c>
      <c r="D136" s="56" t="s">
        <v>9</v>
      </c>
      <c r="E136" s="56"/>
      <c r="F136" s="62" t="s">
        <v>69</v>
      </c>
      <c r="G136" s="1" t="s">
        <v>58</v>
      </c>
    </row>
    <row r="137" spans="1:7" x14ac:dyDescent="0.2">
      <c r="F137" s="2"/>
    </row>
    <row r="138" spans="1:7" x14ac:dyDescent="0.2">
      <c r="B138" s="106"/>
      <c r="C138" s="106">
        <f>3504.25+475</f>
        <v>3979.25</v>
      </c>
      <c r="D138" s="106" t="s">
        <v>11</v>
      </c>
      <c r="E138" s="106"/>
      <c r="F138" s="107" t="s">
        <v>150</v>
      </c>
    </row>
    <row r="139" spans="1:7" x14ac:dyDescent="0.2">
      <c r="F139" s="2"/>
    </row>
    <row r="140" spans="1:7" x14ac:dyDescent="0.2">
      <c r="F140" s="2"/>
    </row>
    <row r="141" spans="1:7" x14ac:dyDescent="0.2">
      <c r="A141" s="56">
        <v>840</v>
      </c>
      <c r="B141" s="56">
        <v>23000</v>
      </c>
      <c r="C141" s="56">
        <f>ROUNDUP(C165/27,)</f>
        <v>1097</v>
      </c>
      <c r="D141" s="57" t="s">
        <v>6</v>
      </c>
      <c r="E141" s="56"/>
      <c r="F141" s="60" t="s">
        <v>70</v>
      </c>
      <c r="G141" s="1" t="s">
        <v>58</v>
      </c>
    </row>
    <row r="142" spans="1:7" x14ac:dyDescent="0.2">
      <c r="F142" s="2"/>
    </row>
    <row r="143" spans="1:7" ht="15" x14ac:dyDescent="0.25">
      <c r="B143" s="106"/>
      <c r="C143" s="110">
        <f>(69.58+69.58)/2</f>
        <v>69.58</v>
      </c>
      <c r="D143" s="105" t="s">
        <v>11</v>
      </c>
      <c r="E143" s="106"/>
      <c r="F143" s="107" t="s">
        <v>122</v>
      </c>
      <c r="G143" s="147" t="s">
        <v>144</v>
      </c>
    </row>
    <row r="144" spans="1:7" ht="15" x14ac:dyDescent="0.25">
      <c r="B144" s="106"/>
      <c r="C144" s="110">
        <f>-17261.96+17300</f>
        <v>38.040000000000873</v>
      </c>
      <c r="D144" s="105" t="s">
        <v>10</v>
      </c>
      <c r="E144" s="106"/>
      <c r="F144" s="107" t="s">
        <v>123</v>
      </c>
      <c r="G144" s="148"/>
    </row>
    <row r="145" spans="2:7" ht="15" x14ac:dyDescent="0.25">
      <c r="B145" s="106"/>
      <c r="C145" s="110">
        <f>C143*C144</f>
        <v>2646.8232000000608</v>
      </c>
      <c r="D145" s="105" t="s">
        <v>82</v>
      </c>
      <c r="E145" s="106"/>
      <c r="F145" s="107" t="s">
        <v>124</v>
      </c>
      <c r="G145" s="148"/>
    </row>
    <row r="146" spans="2:7" ht="15" x14ac:dyDescent="0.25">
      <c r="B146" s="106"/>
      <c r="C146" s="110">
        <f>(69.58+75.91)/2</f>
        <v>72.745000000000005</v>
      </c>
      <c r="D146" s="105" t="s">
        <v>11</v>
      </c>
      <c r="E146" s="106"/>
      <c r="F146" s="107" t="s">
        <v>125</v>
      </c>
      <c r="G146" s="148"/>
    </row>
    <row r="147" spans="2:7" ht="15" x14ac:dyDescent="0.25">
      <c r="B147" s="106"/>
      <c r="C147" s="110">
        <f>17350-17300</f>
        <v>50</v>
      </c>
      <c r="D147" s="105" t="s">
        <v>10</v>
      </c>
      <c r="E147" s="106"/>
      <c r="F147" s="107" t="s">
        <v>126</v>
      </c>
      <c r="G147" s="148"/>
    </row>
    <row r="148" spans="2:7" ht="15" x14ac:dyDescent="0.25">
      <c r="B148" s="106"/>
      <c r="C148" s="110">
        <f>C146*C147</f>
        <v>3637.25</v>
      </c>
      <c r="D148" s="105" t="s">
        <v>82</v>
      </c>
      <c r="E148" s="106"/>
      <c r="F148" s="107" t="s">
        <v>127</v>
      </c>
      <c r="G148" s="148"/>
    </row>
    <row r="149" spans="2:7" ht="15" x14ac:dyDescent="0.25">
      <c r="B149" s="106"/>
      <c r="C149" s="110">
        <f>(75.91+113.48)/2</f>
        <v>94.694999999999993</v>
      </c>
      <c r="D149" s="105" t="s">
        <v>11</v>
      </c>
      <c r="E149" s="106"/>
      <c r="F149" s="107" t="s">
        <v>128</v>
      </c>
      <c r="G149" s="148"/>
    </row>
    <row r="150" spans="2:7" ht="15" x14ac:dyDescent="0.25">
      <c r="B150" s="106"/>
      <c r="C150" s="110">
        <v>50</v>
      </c>
      <c r="D150" s="105" t="s">
        <v>10</v>
      </c>
      <c r="E150" s="106"/>
      <c r="F150" s="107" t="s">
        <v>129</v>
      </c>
      <c r="G150" s="148"/>
    </row>
    <row r="151" spans="2:7" ht="15" x14ac:dyDescent="0.25">
      <c r="B151" s="106"/>
      <c r="C151" s="110">
        <f>C149*C150</f>
        <v>4734.75</v>
      </c>
      <c r="D151" s="105" t="s">
        <v>82</v>
      </c>
      <c r="E151" s="106"/>
      <c r="F151" s="107" t="s">
        <v>130</v>
      </c>
      <c r="G151" s="148"/>
    </row>
    <row r="152" spans="2:7" ht="15" x14ac:dyDescent="0.25">
      <c r="B152" s="106"/>
      <c r="C152" s="110">
        <f>(113.48+117.19)/2</f>
        <v>115.33500000000001</v>
      </c>
      <c r="D152" s="105" t="s">
        <v>11</v>
      </c>
      <c r="E152" s="106"/>
      <c r="F152" s="107" t="s">
        <v>131</v>
      </c>
      <c r="G152" s="148"/>
    </row>
    <row r="153" spans="2:7" ht="15" x14ac:dyDescent="0.25">
      <c r="B153" s="106"/>
      <c r="C153" s="110">
        <v>50</v>
      </c>
      <c r="D153" s="105" t="s">
        <v>10</v>
      </c>
      <c r="E153" s="106"/>
      <c r="F153" s="107" t="s">
        <v>132</v>
      </c>
      <c r="G153" s="148"/>
    </row>
    <row r="154" spans="2:7" ht="15" x14ac:dyDescent="0.25">
      <c r="B154" s="106"/>
      <c r="C154" s="110">
        <f>C152*C153</f>
        <v>5766.75</v>
      </c>
      <c r="D154" s="105" t="s">
        <v>82</v>
      </c>
      <c r="E154" s="106"/>
      <c r="F154" s="107" t="s">
        <v>133</v>
      </c>
      <c r="G154" s="148"/>
    </row>
    <row r="155" spans="2:7" ht="15" x14ac:dyDescent="0.25">
      <c r="B155" s="106"/>
      <c r="C155" s="109">
        <f>(117.19+127.34)/2</f>
        <v>122.265</v>
      </c>
      <c r="D155" s="105" t="s">
        <v>11</v>
      </c>
      <c r="E155" s="106"/>
      <c r="F155" s="107" t="s">
        <v>134</v>
      </c>
      <c r="G155" s="148"/>
    </row>
    <row r="156" spans="2:7" ht="15" x14ac:dyDescent="0.25">
      <c r="B156" s="106"/>
      <c r="C156" s="109">
        <v>43.89</v>
      </c>
      <c r="D156" s="105" t="s">
        <v>10</v>
      </c>
      <c r="E156" s="106"/>
      <c r="F156" s="107" t="s">
        <v>135</v>
      </c>
      <c r="G156" s="148"/>
    </row>
    <row r="157" spans="2:7" ht="15" x14ac:dyDescent="0.25">
      <c r="B157" s="106"/>
      <c r="C157" s="109">
        <f>C155*C156</f>
        <v>5366.2108500000004</v>
      </c>
      <c r="D157" s="105" t="s">
        <v>82</v>
      </c>
      <c r="E157" s="106"/>
      <c r="F157" s="107" t="s">
        <v>136</v>
      </c>
      <c r="G157" s="148"/>
    </row>
    <row r="158" spans="2:7" ht="15" x14ac:dyDescent="0.25">
      <c r="B158" s="106"/>
      <c r="C158" s="109">
        <f>(127.34+119.43)/2</f>
        <v>123.38500000000001</v>
      </c>
      <c r="D158" s="105" t="s">
        <v>11</v>
      </c>
      <c r="E158" s="106"/>
      <c r="F158" s="107" t="s">
        <v>137</v>
      </c>
      <c r="G158" s="148"/>
    </row>
    <row r="159" spans="2:7" ht="15" x14ac:dyDescent="0.25">
      <c r="B159" s="106"/>
      <c r="C159" s="109">
        <v>50</v>
      </c>
      <c r="D159" s="105" t="s">
        <v>10</v>
      </c>
      <c r="E159" s="106"/>
      <c r="F159" s="107" t="s">
        <v>139</v>
      </c>
      <c r="G159" s="148"/>
    </row>
    <row r="160" spans="2:7" ht="15" x14ac:dyDescent="0.25">
      <c r="B160" s="106"/>
      <c r="C160" s="109">
        <f>C158*C159</f>
        <v>6169.25</v>
      </c>
      <c r="D160" s="105" t="s">
        <v>82</v>
      </c>
      <c r="E160" s="106"/>
      <c r="F160" s="107" t="s">
        <v>138</v>
      </c>
      <c r="G160" s="148"/>
    </row>
    <row r="161" spans="1:8" ht="15" x14ac:dyDescent="0.25">
      <c r="B161" s="106"/>
      <c r="C161" s="109">
        <f>(119.43+120)/2</f>
        <v>119.715</v>
      </c>
      <c r="D161" s="105" t="s">
        <v>11</v>
      </c>
      <c r="E161" s="106"/>
      <c r="F161" s="107" t="s">
        <v>143</v>
      </c>
      <c r="G161" s="148"/>
      <c r="H161" s="2"/>
    </row>
    <row r="162" spans="1:8" ht="15" x14ac:dyDescent="0.25">
      <c r="B162" s="106"/>
      <c r="C162" s="109">
        <f>17560.68-17550</f>
        <v>10.680000000000291</v>
      </c>
      <c r="D162" s="105" t="s">
        <v>10</v>
      </c>
      <c r="E162" s="106"/>
      <c r="F162" s="107" t="s">
        <v>145</v>
      </c>
      <c r="G162" s="148"/>
    </row>
    <row r="163" spans="1:8" ht="15" x14ac:dyDescent="0.25">
      <c r="B163" s="106"/>
      <c r="C163" s="109">
        <f>C161*C162</f>
        <v>1278.5562000000348</v>
      </c>
      <c r="D163" s="105" t="s">
        <v>82</v>
      </c>
      <c r="E163" s="106"/>
      <c r="F163" s="107" t="s">
        <v>146</v>
      </c>
      <c r="G163" s="148"/>
    </row>
    <row r="164" spans="1:8" x14ac:dyDescent="0.2">
      <c r="B164" s="106"/>
      <c r="C164" s="106"/>
      <c r="D164" s="106"/>
      <c r="E164" s="106"/>
      <c r="F164" s="106"/>
      <c r="G164" s="148"/>
    </row>
    <row r="165" spans="1:8" x14ac:dyDescent="0.2">
      <c r="B165" s="106"/>
      <c r="C165" s="108">
        <f>C145+C148+C151+C154+C157+C160+C163</f>
        <v>29599.590250000096</v>
      </c>
      <c r="D165" s="105" t="s">
        <v>82</v>
      </c>
      <c r="E165" s="106"/>
      <c r="F165" s="107" t="s">
        <v>121</v>
      </c>
      <c r="G165" s="148"/>
    </row>
    <row r="166" spans="1:8" x14ac:dyDescent="0.2">
      <c r="F166" s="2"/>
    </row>
    <row r="167" spans="1:8" x14ac:dyDescent="0.2">
      <c r="A167" s="56">
        <v>840</v>
      </c>
      <c r="B167" s="56">
        <v>25010</v>
      </c>
      <c r="C167" s="56">
        <f>ROUNDUP(C172,)</f>
        <v>709</v>
      </c>
      <c r="D167" s="56" t="s">
        <v>10</v>
      </c>
      <c r="E167" s="56"/>
      <c r="F167" s="55" t="s">
        <v>71</v>
      </c>
      <c r="G167" s="1" t="s">
        <v>58</v>
      </c>
    </row>
    <row r="168" spans="1:8" x14ac:dyDescent="0.2">
      <c r="F168" s="2"/>
    </row>
    <row r="169" spans="1:8" ht="15" x14ac:dyDescent="0.25">
      <c r="B169" s="106"/>
      <c r="C169" s="104">
        <f>342*2</f>
        <v>684</v>
      </c>
      <c r="D169" s="106" t="s">
        <v>10</v>
      </c>
      <c r="E169" s="106"/>
      <c r="F169" s="107" t="s">
        <v>149</v>
      </c>
    </row>
    <row r="170" spans="1:8" ht="15" x14ac:dyDescent="0.25">
      <c r="B170" s="106"/>
      <c r="C170" s="104">
        <v>25</v>
      </c>
      <c r="D170" s="105" t="s">
        <v>10</v>
      </c>
      <c r="E170" s="106"/>
      <c r="F170" s="107" t="s">
        <v>148</v>
      </c>
    </row>
    <row r="171" spans="1:8" x14ac:dyDescent="0.2">
      <c r="B171" s="106"/>
      <c r="C171" s="106"/>
      <c r="D171" s="105"/>
      <c r="E171" s="106"/>
      <c r="F171" s="107"/>
    </row>
    <row r="172" spans="1:8" x14ac:dyDescent="0.2">
      <c r="B172" s="106"/>
      <c r="C172" s="106">
        <f>C170+C169</f>
        <v>709</v>
      </c>
      <c r="D172" s="105" t="s">
        <v>10</v>
      </c>
      <c r="E172" s="106"/>
      <c r="F172" s="107" t="s">
        <v>92</v>
      </c>
    </row>
    <row r="173" spans="1:8" x14ac:dyDescent="0.2">
      <c r="F173" s="2"/>
    </row>
    <row r="174" spans="1:8" x14ac:dyDescent="0.2">
      <c r="F174" s="2"/>
    </row>
    <row r="175" spans="1:8" x14ac:dyDescent="0.2">
      <c r="A175" s="63">
        <v>840</v>
      </c>
      <c r="B175" s="63">
        <v>26000</v>
      </c>
      <c r="C175" s="63">
        <f>ROUNDUP(C177,)</f>
        <v>335</v>
      </c>
      <c r="D175" s="59" t="s">
        <v>10</v>
      </c>
      <c r="E175" s="64"/>
      <c r="F175" s="55" t="s">
        <v>72</v>
      </c>
      <c r="G175" s="1" t="s">
        <v>58</v>
      </c>
    </row>
    <row r="176" spans="1:8" x14ac:dyDescent="0.2">
      <c r="F176" s="2"/>
    </row>
    <row r="177" spans="1:7" ht="15" x14ac:dyDescent="0.25">
      <c r="B177" s="106"/>
      <c r="C177" s="104">
        <v>335</v>
      </c>
      <c r="D177" s="106" t="s">
        <v>10</v>
      </c>
      <c r="E177" s="106"/>
      <c r="F177" s="107" t="s">
        <v>91</v>
      </c>
    </row>
    <row r="178" spans="1:7" x14ac:dyDescent="0.2">
      <c r="F178" s="2"/>
    </row>
    <row r="179" spans="1:7" x14ac:dyDescent="0.2">
      <c r="A179" s="63">
        <v>840</v>
      </c>
      <c r="B179" s="63">
        <v>26050</v>
      </c>
      <c r="C179" s="63">
        <f>ROUNDUP(C181,)</f>
        <v>3854</v>
      </c>
      <c r="D179" s="59" t="s">
        <v>11</v>
      </c>
      <c r="E179" s="64"/>
      <c r="F179" s="55" t="s">
        <v>76</v>
      </c>
      <c r="G179" s="1" t="s">
        <v>58</v>
      </c>
    </row>
    <row r="180" spans="1:7" x14ac:dyDescent="0.2">
      <c r="F180" s="2"/>
    </row>
    <row r="181" spans="1:7" ht="15" x14ac:dyDescent="0.25">
      <c r="B181" s="106"/>
      <c r="C181" s="104">
        <f>C133</f>
        <v>3854</v>
      </c>
      <c r="D181" s="105" t="s">
        <v>11</v>
      </c>
      <c r="E181" s="106"/>
      <c r="F181" s="107" t="s">
        <v>76</v>
      </c>
    </row>
    <row r="182" spans="1:7" x14ac:dyDescent="0.2">
      <c r="F182" s="2"/>
    </row>
    <row r="183" spans="1:7" x14ac:dyDescent="0.2">
      <c r="F183" s="2"/>
    </row>
    <row r="184" spans="1:7" x14ac:dyDescent="0.2">
      <c r="A184" s="63">
        <v>511</v>
      </c>
      <c r="B184" s="63">
        <v>53012</v>
      </c>
      <c r="C184" s="63">
        <f>ROUNDUP(C193/27,0)</f>
        <v>196</v>
      </c>
      <c r="D184" s="59" t="s">
        <v>6</v>
      </c>
      <c r="E184" s="64"/>
      <c r="F184" s="55" t="s">
        <v>98</v>
      </c>
      <c r="G184" s="1" t="s">
        <v>58</v>
      </c>
    </row>
    <row r="185" spans="1:7" x14ac:dyDescent="0.2">
      <c r="F185" s="2"/>
    </row>
    <row r="186" spans="1:7" ht="15" x14ac:dyDescent="0.25">
      <c r="B186" s="117"/>
      <c r="C186" s="118">
        <f>31002.47-30700-C188-C190</f>
        <v>257.47000000000116</v>
      </c>
      <c r="D186" s="115" t="s">
        <v>10</v>
      </c>
      <c r="E186" s="117"/>
      <c r="F186" s="119" t="s">
        <v>152</v>
      </c>
    </row>
    <row r="187" spans="1:7" x14ac:dyDescent="0.2">
      <c r="B187" s="117"/>
      <c r="C187" s="120">
        <v>17.71</v>
      </c>
      <c r="D187" s="115" t="s">
        <v>95</v>
      </c>
      <c r="E187" s="117"/>
      <c r="F187" s="119" t="s">
        <v>153</v>
      </c>
    </row>
    <row r="188" spans="1:7" x14ac:dyDescent="0.2">
      <c r="B188" s="117"/>
      <c r="C188" s="120">
        <v>30</v>
      </c>
      <c r="D188" s="115" t="s">
        <v>10</v>
      </c>
      <c r="E188" s="117"/>
      <c r="F188" s="119" t="s">
        <v>156</v>
      </c>
    </row>
    <row r="189" spans="1:7" x14ac:dyDescent="0.2">
      <c r="B189" s="117"/>
      <c r="C189" s="120">
        <v>15.542299999999999</v>
      </c>
      <c r="D189" s="115" t="s">
        <v>95</v>
      </c>
      <c r="E189" s="117"/>
      <c r="F189" s="119" t="s">
        <v>157</v>
      </c>
    </row>
    <row r="190" spans="1:7" x14ac:dyDescent="0.2">
      <c r="B190" s="117"/>
      <c r="C190" s="120">
        <v>15</v>
      </c>
      <c r="D190" s="115" t="s">
        <v>10</v>
      </c>
      <c r="E190" s="117"/>
      <c r="F190" s="119" t="s">
        <v>154</v>
      </c>
    </row>
    <row r="191" spans="1:7" x14ac:dyDescent="0.2">
      <c r="B191" s="117"/>
      <c r="C191" s="120">
        <f>(C187+C189)/2</f>
        <v>16.626149999999999</v>
      </c>
      <c r="D191" s="115" t="s">
        <v>95</v>
      </c>
      <c r="E191" s="117"/>
      <c r="F191" s="119" t="s">
        <v>155</v>
      </c>
    </row>
    <row r="192" spans="1:7" x14ac:dyDescent="0.2">
      <c r="B192" s="117"/>
      <c r="C192" s="117"/>
      <c r="D192" s="117"/>
      <c r="E192" s="117"/>
      <c r="F192" s="117"/>
    </row>
    <row r="193" spans="1:7" x14ac:dyDescent="0.2">
      <c r="B193" s="117"/>
      <c r="C193" s="121">
        <f>C186*C187+C188*C189+C190*C191</f>
        <v>5275.4549500000212</v>
      </c>
      <c r="D193" s="115" t="s">
        <v>82</v>
      </c>
      <c r="E193" s="117"/>
      <c r="F193" s="119" t="s">
        <v>83</v>
      </c>
    </row>
    <row r="195" spans="1:7" x14ac:dyDescent="0.2">
      <c r="A195" s="63">
        <v>209</v>
      </c>
      <c r="B195" s="63">
        <v>20000</v>
      </c>
      <c r="C195" s="63">
        <f>C197</f>
        <v>27989</v>
      </c>
      <c r="D195" s="59" t="s">
        <v>96</v>
      </c>
      <c r="E195" s="64"/>
      <c r="F195" s="55" t="s">
        <v>17</v>
      </c>
      <c r="G195" s="1" t="s">
        <v>58</v>
      </c>
    </row>
    <row r="196" spans="1:7" x14ac:dyDescent="0.2">
      <c r="B196" s="106"/>
      <c r="C196" s="106"/>
      <c r="D196" s="106"/>
      <c r="E196" s="106"/>
      <c r="F196" s="116"/>
    </row>
    <row r="197" spans="1:7" ht="15" x14ac:dyDescent="0.25">
      <c r="B197" s="106"/>
      <c r="C197" s="104">
        <v>27989</v>
      </c>
      <c r="D197" s="105" t="s">
        <v>96</v>
      </c>
      <c r="E197" s="106"/>
      <c r="F197" s="107" t="s">
        <v>97</v>
      </c>
    </row>
    <row r="200" spans="1:7" x14ac:dyDescent="0.2">
      <c r="A200" s="86">
        <v>516</v>
      </c>
      <c r="B200" s="86">
        <v>13900</v>
      </c>
      <c r="C200" s="63">
        <f>ROUNDUP(C205,)</f>
        <v>670</v>
      </c>
      <c r="D200" s="86" t="s">
        <v>11</v>
      </c>
      <c r="E200" s="87"/>
      <c r="F200" s="85" t="s">
        <v>100</v>
      </c>
      <c r="G200" s="1" t="s">
        <v>58</v>
      </c>
    </row>
    <row r="202" spans="1:7" ht="15" x14ac:dyDescent="0.25">
      <c r="A202" s="106"/>
      <c r="B202" s="106"/>
      <c r="C202" s="104">
        <f>C177</f>
        <v>335</v>
      </c>
      <c r="D202" s="122" t="s">
        <v>10</v>
      </c>
      <c r="E202" s="123"/>
      <c r="F202" s="124" t="s">
        <v>90</v>
      </c>
    </row>
    <row r="203" spans="1:7" ht="15" x14ac:dyDescent="0.25">
      <c r="A203" s="106"/>
      <c r="B203" s="106"/>
      <c r="C203" s="104">
        <v>2</v>
      </c>
      <c r="D203" s="122" t="s">
        <v>10</v>
      </c>
      <c r="E203" s="123"/>
      <c r="F203" s="124" t="s">
        <v>101</v>
      </c>
    </row>
    <row r="204" spans="1:7" x14ac:dyDescent="0.2">
      <c r="A204" s="106"/>
      <c r="B204" s="106"/>
      <c r="C204" s="106"/>
      <c r="D204" s="106"/>
      <c r="E204" s="106"/>
      <c r="F204" s="106"/>
    </row>
    <row r="205" spans="1:7" ht="15" x14ac:dyDescent="0.25">
      <c r="A205" s="106"/>
      <c r="B205" s="106"/>
      <c r="C205" s="104">
        <f>C202*C203</f>
        <v>670</v>
      </c>
      <c r="D205" s="122" t="s">
        <v>11</v>
      </c>
      <c r="E205" s="123"/>
      <c r="F205" s="125" t="s">
        <v>102</v>
      </c>
    </row>
    <row r="207" spans="1:7" ht="15" x14ac:dyDescent="0.25">
      <c r="C207" s="99"/>
      <c r="D207" s="91"/>
      <c r="E207" s="89"/>
      <c r="F207" s="90"/>
    </row>
    <row r="208" spans="1:7" x14ac:dyDescent="0.2">
      <c r="C208" s="100"/>
    </row>
    <row r="209" spans="3:6" ht="15" x14ac:dyDescent="0.25">
      <c r="C209" s="99"/>
      <c r="D209" s="91"/>
      <c r="E209" s="89"/>
      <c r="F209" s="88"/>
    </row>
  </sheetData>
  <mergeCells count="11">
    <mergeCell ref="G53:G69"/>
    <mergeCell ref="G143:G165"/>
    <mergeCell ref="G27:G47"/>
    <mergeCell ref="G1:G4"/>
    <mergeCell ref="A3:A4"/>
    <mergeCell ref="B3:B4"/>
    <mergeCell ref="C3:C4"/>
    <mergeCell ref="D3:D4"/>
    <mergeCell ref="E3:E4"/>
    <mergeCell ref="F3:F4"/>
    <mergeCell ref="B1:F2"/>
  </mergeCells>
  <pageMargins left="0.75" right="0.75" top="1" bottom="1" header="0.5" footer="0.5"/>
  <pageSetup paperSize="17" scale="60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zoomScaleNormal="100" workbookViewId="0">
      <selection activeCell="A7" sqref="A6:F7"/>
    </sheetView>
  </sheetViews>
  <sheetFormatPr defaultRowHeight="12.75" x14ac:dyDescent="0.2"/>
  <cols>
    <col min="1" max="1" width="7.85546875" bestFit="1" customWidth="1"/>
    <col min="2" max="3" width="13.85546875" bestFit="1" customWidth="1"/>
    <col min="4" max="4" width="8.85546875" bestFit="1" customWidth="1"/>
    <col min="5" max="5" width="7.140625" bestFit="1" customWidth="1"/>
    <col min="6" max="6" width="84" bestFit="1" customWidth="1"/>
    <col min="7" max="7" width="18.5703125" bestFit="1" customWidth="1"/>
    <col min="8" max="8" width="8.85546875" customWidth="1"/>
    <col min="13" max="15" width="9" customWidth="1"/>
  </cols>
  <sheetData>
    <row r="1" spans="1:7" ht="12.75" customHeight="1" x14ac:dyDescent="0.2">
      <c r="A1" s="68"/>
      <c r="B1" s="133" t="s">
        <v>29</v>
      </c>
      <c r="C1" s="134"/>
      <c r="D1" s="134"/>
      <c r="E1" s="134"/>
      <c r="F1" s="135"/>
      <c r="G1" s="139" t="s">
        <v>30</v>
      </c>
    </row>
    <row r="2" spans="1:7" ht="12.75" customHeight="1" thickBot="1" x14ac:dyDescent="0.25">
      <c r="A2" s="69"/>
      <c r="B2" s="136"/>
      <c r="C2" s="137"/>
      <c r="D2" s="137"/>
      <c r="E2" s="137"/>
      <c r="F2" s="138"/>
      <c r="G2" s="140"/>
    </row>
    <row r="3" spans="1:7" ht="12.75" customHeight="1" x14ac:dyDescent="0.2">
      <c r="A3" s="155" t="s">
        <v>61</v>
      </c>
      <c r="B3" s="142" t="s">
        <v>0</v>
      </c>
      <c r="C3" s="144" t="s">
        <v>4</v>
      </c>
      <c r="D3" s="144" t="s">
        <v>1</v>
      </c>
      <c r="E3" s="144" t="s">
        <v>2</v>
      </c>
      <c r="F3" s="142" t="s">
        <v>3</v>
      </c>
      <c r="G3" s="140"/>
    </row>
    <row r="4" spans="1:7" ht="13.5" customHeight="1" thickBot="1" x14ac:dyDescent="0.25">
      <c r="A4" s="156"/>
      <c r="B4" s="143"/>
      <c r="C4" s="145"/>
      <c r="D4" s="145"/>
      <c r="E4" s="145"/>
      <c r="F4" s="143"/>
      <c r="G4" s="141"/>
    </row>
    <row r="5" spans="1:7" s="54" customFormat="1" ht="13.5" customHeight="1" x14ac:dyDescent="0.2">
      <c r="A5" s="70" t="s">
        <v>8</v>
      </c>
      <c r="B5" s="73">
        <v>207</v>
      </c>
      <c r="C5" s="66">
        <v>11200</v>
      </c>
      <c r="D5" s="66" t="s">
        <v>8</v>
      </c>
      <c r="E5" s="66" t="s">
        <v>8</v>
      </c>
      <c r="F5" s="67" t="s">
        <v>80</v>
      </c>
      <c r="G5" s="65"/>
    </row>
    <row r="6" spans="1:7" x14ac:dyDescent="0.2">
      <c r="A6" s="71" t="e">
        <f>'E3'!#REF!</f>
        <v>#REF!</v>
      </c>
      <c r="B6" s="6">
        <v>203</v>
      </c>
      <c r="C6" s="6">
        <v>35110</v>
      </c>
      <c r="D6" s="6" t="e">
        <f>SUM(A6:A6)</f>
        <v>#REF!</v>
      </c>
      <c r="E6" s="50" t="s">
        <v>6</v>
      </c>
      <c r="F6" s="49" t="s">
        <v>63</v>
      </c>
      <c r="G6" s="42"/>
    </row>
    <row r="7" spans="1:7" x14ac:dyDescent="0.2">
      <c r="A7" s="71" t="e">
        <f>'E3'!#REF!</f>
        <v>#REF!</v>
      </c>
      <c r="B7" s="6">
        <v>203</v>
      </c>
      <c r="C7" s="6">
        <v>35120</v>
      </c>
      <c r="D7" s="6" t="e">
        <f>SUM(A7:A7)</f>
        <v>#REF!</v>
      </c>
      <c r="E7" s="50" t="s">
        <v>6</v>
      </c>
      <c r="F7" s="49" t="s">
        <v>64</v>
      </c>
      <c r="G7" s="42"/>
    </row>
    <row r="8" spans="1:7" x14ac:dyDescent="0.2">
      <c r="A8" s="71" t="e">
        <f>'E3'!#REF!</f>
        <v>#REF!</v>
      </c>
      <c r="B8" s="6">
        <v>203</v>
      </c>
      <c r="C8" s="6">
        <v>98000</v>
      </c>
      <c r="D8" s="6" t="e">
        <f>SUM(A8:A8)</f>
        <v>#REF!</v>
      </c>
      <c r="E8" s="50" t="s">
        <v>6</v>
      </c>
      <c r="F8" s="49" t="s">
        <v>79</v>
      </c>
      <c r="G8" s="42"/>
    </row>
    <row r="9" spans="1:7" x14ac:dyDescent="0.2">
      <c r="A9" s="71" t="e">
        <f>'E3'!#REF!</f>
        <v>#REF!</v>
      </c>
      <c r="B9" s="6">
        <v>203</v>
      </c>
      <c r="C9" s="6">
        <v>98000</v>
      </c>
      <c r="D9" s="6" t="e">
        <f>SUM(A9:A9)</f>
        <v>#REF!</v>
      </c>
      <c r="E9" s="50" t="s">
        <v>6</v>
      </c>
      <c r="F9" s="49" t="s">
        <v>93</v>
      </c>
      <c r="G9" s="42"/>
    </row>
    <row r="10" spans="1:7" x14ac:dyDescent="0.2">
      <c r="A10" s="71"/>
      <c r="B10" s="6"/>
      <c r="C10" s="6"/>
      <c r="D10" s="6"/>
      <c r="E10" s="7"/>
      <c r="F10" s="49"/>
      <c r="G10" s="42"/>
    </row>
    <row r="11" spans="1:7" x14ac:dyDescent="0.2">
      <c r="A11" s="71" t="e">
        <f>'E3'!#REF!</f>
        <v>#REF!</v>
      </c>
      <c r="B11" s="42" t="s">
        <v>7</v>
      </c>
      <c r="C11" s="6">
        <v>20365000</v>
      </c>
      <c r="D11" s="6" t="e">
        <f>SUM(A11:A11)</f>
        <v>#REF!</v>
      </c>
      <c r="E11" s="50" t="s">
        <v>37</v>
      </c>
      <c r="F11" s="49" t="s">
        <v>65</v>
      </c>
      <c r="G11" s="42"/>
    </row>
    <row r="12" spans="1:7" x14ac:dyDescent="0.2">
      <c r="A12" s="71"/>
      <c r="B12" s="4"/>
      <c r="C12" s="4"/>
      <c r="D12" s="6"/>
      <c r="E12" s="53"/>
      <c r="F12" s="52"/>
      <c r="G12" s="43"/>
    </row>
    <row r="13" spans="1:7" x14ac:dyDescent="0.2">
      <c r="A13" s="71">
        <f>'E3'!B8</f>
        <v>509</v>
      </c>
      <c r="B13" s="4">
        <f>'E3'!B8</f>
        <v>509</v>
      </c>
      <c r="C13" s="4">
        <f>'E3'!C8</f>
        <v>10001</v>
      </c>
      <c r="D13" s="4">
        <f>'E3'!D8</f>
        <v>27989</v>
      </c>
      <c r="E13" s="4" t="str">
        <f>'E3'!E8</f>
        <v>LB</v>
      </c>
      <c r="F13" s="74" t="str">
        <f>'E3'!F8</f>
        <v>EPOXY COATED REINFORCING STEEL, AS PER PLAN</v>
      </c>
      <c r="G13" s="43"/>
    </row>
    <row r="14" spans="1:7" x14ac:dyDescent="0.2">
      <c r="A14" s="71">
        <f>'E3'!B9</f>
        <v>511</v>
      </c>
      <c r="B14" s="4">
        <f>'E3'!B9</f>
        <v>511</v>
      </c>
      <c r="C14" s="4">
        <f>'E3'!C9</f>
        <v>53012</v>
      </c>
      <c r="D14" s="4">
        <f>'E3'!D9</f>
        <v>196</v>
      </c>
      <c r="E14" s="4" t="str">
        <f>'E3'!E9</f>
        <v>CU YD</v>
      </c>
      <c r="F14" s="74" t="str">
        <f>'E3'!F9</f>
        <v>CLASS QC2 CONCRETE, MISC.: PARAPET INCLUDING SLEEPER SLAB WITH QC/QA</v>
      </c>
      <c r="G14" s="43"/>
    </row>
    <row r="15" spans="1:7" x14ac:dyDescent="0.2">
      <c r="A15" s="71" t="e">
        <f>'E3'!#REF!</f>
        <v>#REF!</v>
      </c>
      <c r="B15" s="4">
        <v>511</v>
      </c>
      <c r="C15" s="4">
        <v>53012</v>
      </c>
      <c r="D15" s="4" t="e">
        <f>A15</f>
        <v>#REF!</v>
      </c>
      <c r="E15" s="53" t="s">
        <v>6</v>
      </c>
      <c r="F15" s="52" t="s">
        <v>94</v>
      </c>
      <c r="G15" s="43"/>
    </row>
    <row r="16" spans="1:7" ht="12.75" customHeight="1" x14ac:dyDescent="0.2">
      <c r="A16" s="71" t="e">
        <f>'E3'!#REF!</f>
        <v>#REF!</v>
      </c>
      <c r="B16" s="4">
        <v>512</v>
      </c>
      <c r="C16" s="4">
        <v>10001</v>
      </c>
      <c r="D16" s="6" t="e">
        <f>A16</f>
        <v>#REF!</v>
      </c>
      <c r="E16" s="53" t="s">
        <v>9</v>
      </c>
      <c r="F16" s="52" t="s">
        <v>77</v>
      </c>
      <c r="G16" s="43"/>
    </row>
    <row r="17" spans="1:7" ht="12.75" customHeight="1" x14ac:dyDescent="0.2">
      <c r="A17" s="71">
        <f>'E3'!D11</f>
        <v>618</v>
      </c>
      <c r="B17" s="4">
        <f>IF(VOID!E7=0, "", VOID!E7)</f>
        <v>512</v>
      </c>
      <c r="C17" s="4">
        <v>10100</v>
      </c>
      <c r="D17" s="6">
        <f>SUM(A17:A17)</f>
        <v>618</v>
      </c>
      <c r="E17" s="5" t="str">
        <f>IF(VOID!H7=0, "", VOID!H7)</f>
        <v>SQ YD</v>
      </c>
      <c r="F17" s="52" t="s">
        <v>78</v>
      </c>
      <c r="G17" s="43"/>
    </row>
    <row r="18" spans="1:7" ht="12.75" hidden="1" customHeight="1" x14ac:dyDescent="0.2">
      <c r="A18" s="71" t="e">
        <f>'E3'!#REF!</f>
        <v>#REF!</v>
      </c>
      <c r="B18" s="4">
        <v>517</v>
      </c>
      <c r="C18" s="4">
        <v>74501</v>
      </c>
      <c r="D18" s="6" t="e">
        <f>SUM(A18:A18)</f>
        <v>#REF!</v>
      </c>
      <c r="E18" s="53" t="s">
        <v>10</v>
      </c>
      <c r="F18" s="52" t="s">
        <v>66</v>
      </c>
      <c r="G18" s="43"/>
    </row>
    <row r="19" spans="1:7" ht="12.75" customHeight="1" x14ac:dyDescent="0.2">
      <c r="A19" s="71"/>
      <c r="B19" s="4"/>
      <c r="C19" s="4"/>
      <c r="D19" s="6"/>
      <c r="E19" s="53"/>
      <c r="F19" s="52"/>
      <c r="G19" s="43"/>
    </row>
    <row r="20" spans="1:7" ht="12.75" customHeight="1" x14ac:dyDescent="0.2">
      <c r="A20" s="71">
        <f>'E3'!D14</f>
        <v>3854</v>
      </c>
      <c r="B20" s="4">
        <v>840</v>
      </c>
      <c r="C20" s="4">
        <v>20001</v>
      </c>
      <c r="D20" s="6">
        <f>SUM(A20:A20)</f>
        <v>3854</v>
      </c>
      <c r="E20" s="53" t="s">
        <v>11</v>
      </c>
      <c r="F20" s="52" t="s">
        <v>67</v>
      </c>
      <c r="G20" s="43"/>
    </row>
    <row r="21" spans="1:7" ht="12.75" customHeight="1" x14ac:dyDescent="0.2">
      <c r="A21" s="71" t="e">
        <f>'E3'!#REF!</f>
        <v>#REF!</v>
      </c>
      <c r="B21" s="4">
        <v>840</v>
      </c>
      <c r="C21" s="4">
        <v>21000</v>
      </c>
      <c r="D21" s="6" t="e">
        <f>SUM(A21:A21)</f>
        <v>#REF!</v>
      </c>
      <c r="E21" s="53" t="s">
        <v>6</v>
      </c>
      <c r="F21" s="52" t="s">
        <v>68</v>
      </c>
      <c r="G21" s="4"/>
    </row>
    <row r="22" spans="1:7" ht="12.75" customHeight="1" x14ac:dyDescent="0.2">
      <c r="A22" s="71">
        <f>'E3'!D16</f>
        <v>1097</v>
      </c>
      <c r="B22" s="4">
        <v>840</v>
      </c>
      <c r="C22" s="4">
        <v>23000</v>
      </c>
      <c r="D22" s="6">
        <f>SUM(A22:A22)</f>
        <v>1097</v>
      </c>
      <c r="E22" s="53" t="s">
        <v>6</v>
      </c>
      <c r="F22" s="52" t="s">
        <v>70</v>
      </c>
      <c r="G22" s="43"/>
    </row>
    <row r="23" spans="1:7" ht="12.75" customHeight="1" x14ac:dyDescent="0.2">
      <c r="A23" s="71">
        <f>'E3'!D17</f>
        <v>709</v>
      </c>
      <c r="B23" s="4">
        <v>840</v>
      </c>
      <c r="C23" s="4">
        <v>25010</v>
      </c>
      <c r="D23" s="6">
        <f>SUM(A23:A23)</f>
        <v>709</v>
      </c>
      <c r="E23" s="53" t="s">
        <v>10</v>
      </c>
      <c r="F23" s="52" t="s">
        <v>71</v>
      </c>
      <c r="G23" s="43"/>
    </row>
    <row r="24" spans="1:7" ht="12.75" customHeight="1" x14ac:dyDescent="0.2">
      <c r="A24" s="71">
        <f>'E3'!D19</f>
        <v>335</v>
      </c>
      <c r="B24" s="4">
        <v>840</v>
      </c>
      <c r="C24" s="4">
        <v>26000</v>
      </c>
      <c r="D24" s="6">
        <f>SUM(A24:A24)</f>
        <v>335</v>
      </c>
      <c r="E24" s="53" t="s">
        <v>10</v>
      </c>
      <c r="F24" s="52" t="s">
        <v>72</v>
      </c>
      <c r="G24" s="4"/>
    </row>
    <row r="25" spans="1:7" ht="12.75" customHeight="1" x14ac:dyDescent="0.2">
      <c r="A25" s="71"/>
      <c r="B25" s="4"/>
      <c r="C25" s="4"/>
      <c r="D25" s="6"/>
      <c r="E25" s="53"/>
      <c r="F25" s="52"/>
      <c r="G25" s="4"/>
    </row>
    <row r="26" spans="1:7" ht="12.75" customHeight="1" x14ac:dyDescent="0.2">
      <c r="A26" s="71">
        <f>'E3'!D20</f>
        <v>3854</v>
      </c>
      <c r="B26" s="4">
        <v>840</v>
      </c>
      <c r="C26" s="4">
        <v>26050</v>
      </c>
      <c r="D26" s="6">
        <f>SUM(A26:A26)</f>
        <v>3854</v>
      </c>
      <c r="E26" s="53" t="s">
        <v>11</v>
      </c>
      <c r="F26" s="52" t="s">
        <v>76</v>
      </c>
      <c r="G26" s="4"/>
    </row>
    <row r="27" spans="1:7" ht="13.5" thickBot="1" x14ac:dyDescent="0.25">
      <c r="A27" s="72"/>
      <c r="B27" s="38" t="str">
        <f>IF(VOID!E22=0, "", VOID!E22)</f>
        <v/>
      </c>
      <c r="C27" s="38" t="str">
        <f>IF(VOID!F22=0, "", VOID!F22)</f>
        <v/>
      </c>
      <c r="D27" s="38" t="str">
        <f>IF(VOID!G22=0, "", VOID!G22)</f>
        <v/>
      </c>
      <c r="E27" s="40" t="str">
        <f>IF(VOID!H22=0, "", VOID!H22)</f>
        <v/>
      </c>
      <c r="F27" s="41" t="str">
        <f>IF(VOID!I22=0, "", VOID!I22)</f>
        <v/>
      </c>
      <c r="G27" s="38" t="str">
        <f>IF(VOID!J22=0, "", VOID!J22)</f>
        <v/>
      </c>
    </row>
    <row r="30" spans="1:7" ht="12.75" customHeight="1" x14ac:dyDescent="0.2"/>
    <row r="31" spans="1:7" ht="13.5" customHeight="1" x14ac:dyDescent="0.2"/>
  </sheetData>
  <mergeCells count="8">
    <mergeCell ref="A3:A4"/>
    <mergeCell ref="F3:F4"/>
    <mergeCell ref="B1:F2"/>
    <mergeCell ref="G1:G4"/>
    <mergeCell ref="B3:B4"/>
    <mergeCell ref="E3:E4"/>
    <mergeCell ref="C3:C4"/>
    <mergeCell ref="D3:D4"/>
  </mergeCells>
  <phoneticPr fontId="0" type="noConversion"/>
  <pageMargins left="0.75" right="0.75" top="1" bottom="1" header="0.5" footer="0.5"/>
  <pageSetup paperSize="17" scale="88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zoomScaleNormal="100" workbookViewId="0">
      <selection activeCell="E33" sqref="E33"/>
    </sheetView>
  </sheetViews>
  <sheetFormatPr defaultRowHeight="12.75" x14ac:dyDescent="0.2"/>
  <cols>
    <col min="2" max="4" width="9.140625" style="23"/>
    <col min="5" max="5" width="8.85546875" style="25" bestFit="1" customWidth="1"/>
    <col min="6" max="6" width="9.7109375" style="27" bestFit="1" customWidth="1"/>
    <col min="7" max="7" width="8.5703125" style="27" bestFit="1" customWidth="1"/>
    <col min="8" max="8" width="6.85546875" style="27" bestFit="1" customWidth="1"/>
    <col min="9" max="9" width="84" style="27" bestFit="1" customWidth="1"/>
    <col min="10" max="10" width="9" style="27" bestFit="1" customWidth="1"/>
    <col min="11" max="11" width="9" bestFit="1" customWidth="1"/>
  </cols>
  <sheetData>
    <row r="1" spans="1:16" x14ac:dyDescent="0.2">
      <c r="A1" s="1" t="s">
        <v>53</v>
      </c>
      <c r="B1" s="1" t="s">
        <v>50</v>
      </c>
      <c r="C1" s="1" t="s">
        <v>51</v>
      </c>
      <c r="D1" s="1" t="s">
        <v>52</v>
      </c>
      <c r="E1" s="1" t="s">
        <v>0</v>
      </c>
      <c r="F1" s="1" t="s">
        <v>4</v>
      </c>
      <c r="G1" s="1" t="s">
        <v>1</v>
      </c>
      <c r="H1" s="1" t="s">
        <v>2</v>
      </c>
      <c r="I1" s="1" t="s">
        <v>3</v>
      </c>
      <c r="J1" s="1" t="s">
        <v>5</v>
      </c>
      <c r="K1" s="1"/>
      <c r="L1" s="1" t="s">
        <v>35</v>
      </c>
    </row>
    <row r="2" spans="1:16" x14ac:dyDescent="0.2">
      <c r="A2" s="1" t="s">
        <v>55</v>
      </c>
      <c r="B2" s="1" t="str">
        <f>[1]Calcs!$C$2</f>
        <v>LUMP</v>
      </c>
      <c r="C2" s="1" t="str">
        <f>[2]Calcs!$C$2</f>
        <v>LUMP</v>
      </c>
      <c r="D2" s="1" t="str">
        <f>[3]Calcs!$C$2</f>
        <v>LUMP</v>
      </c>
      <c r="E2" s="1">
        <v>503</v>
      </c>
      <c r="F2" s="3">
        <v>21301</v>
      </c>
      <c r="G2" s="1" t="s">
        <v>8</v>
      </c>
      <c r="H2" s="1"/>
      <c r="I2" s="2" t="s">
        <v>12</v>
      </c>
      <c r="J2" s="1" t="s">
        <v>58</v>
      </c>
      <c r="L2" s="2"/>
    </row>
    <row r="3" spans="1:16" x14ac:dyDescent="0.2">
      <c r="A3" s="1" t="s">
        <v>44</v>
      </c>
      <c r="B3" s="11">
        <f>[1]Calcs!$C$3</f>
        <v>553</v>
      </c>
      <c r="C3" s="11">
        <f>[2]Calcs!$C$3</f>
        <v>1779</v>
      </c>
      <c r="D3" s="1">
        <f>[3]Calcs!$C$3</f>
        <v>14230</v>
      </c>
      <c r="E3" s="1">
        <v>507</v>
      </c>
      <c r="F3" s="8" t="s">
        <v>13</v>
      </c>
      <c r="G3" s="1">
        <f>SUM(A3:D3)</f>
        <v>16562</v>
      </c>
      <c r="H3" s="1" t="s">
        <v>10</v>
      </c>
      <c r="I3" s="2" t="s">
        <v>14</v>
      </c>
      <c r="J3" s="1"/>
      <c r="L3" s="2" t="s">
        <v>31</v>
      </c>
    </row>
    <row r="4" spans="1:16" x14ac:dyDescent="0.2">
      <c r="A4" s="1" t="s">
        <v>44</v>
      </c>
      <c r="B4" s="11">
        <f>[1]Calcs!$C$4</f>
        <v>5514</v>
      </c>
      <c r="C4" s="11">
        <f>[2]Calcs!$C$4</f>
        <v>19557</v>
      </c>
      <c r="D4" s="1">
        <f>[3]Calcs!$C$4</f>
        <v>297098</v>
      </c>
      <c r="E4" s="1">
        <v>509</v>
      </c>
      <c r="F4" s="8" t="s">
        <v>15</v>
      </c>
      <c r="G4" s="1">
        <f t="shared" ref="G4:G21" si="0">SUM(A4:D4)</f>
        <v>322169</v>
      </c>
      <c r="H4" s="1" t="s">
        <v>16</v>
      </c>
      <c r="I4" s="2" t="s">
        <v>17</v>
      </c>
      <c r="J4" s="1"/>
      <c r="L4" s="2" t="s">
        <v>32</v>
      </c>
    </row>
    <row r="5" spans="1:16" x14ac:dyDescent="0.2">
      <c r="A5" s="1" t="s">
        <v>44</v>
      </c>
      <c r="B5" s="11">
        <f>[1]Calcs!$C$5</f>
        <v>80</v>
      </c>
      <c r="C5" s="11">
        <f>[2]Calcs!$C$5</f>
        <v>239</v>
      </c>
      <c r="D5" s="11">
        <f>[3]Calcs!$C$5</f>
        <v>2312</v>
      </c>
      <c r="E5" s="1">
        <v>511</v>
      </c>
      <c r="F5" s="8" t="s">
        <v>49</v>
      </c>
      <c r="G5" s="1">
        <f t="shared" si="0"/>
        <v>2631</v>
      </c>
      <c r="H5" s="1" t="s">
        <v>6</v>
      </c>
      <c r="I5" s="2" t="s">
        <v>36</v>
      </c>
      <c r="J5" s="1"/>
      <c r="L5" s="2" t="s">
        <v>33</v>
      </c>
    </row>
    <row r="6" spans="1:16" x14ac:dyDescent="0.2">
      <c r="A6" s="1" t="s">
        <v>44</v>
      </c>
      <c r="B6" s="11">
        <f>[1]Calcs!$C$6</f>
        <v>103</v>
      </c>
      <c r="C6" s="11">
        <f>[2]Calcs!$C$6</f>
        <v>398</v>
      </c>
      <c r="D6" s="11">
        <f>[3]Calcs!$C$6</f>
        <v>4745</v>
      </c>
      <c r="E6" s="1">
        <v>512</v>
      </c>
      <c r="F6" s="8" t="s">
        <v>18</v>
      </c>
      <c r="G6" s="1">
        <f t="shared" si="0"/>
        <v>5246</v>
      </c>
      <c r="H6" s="1" t="s">
        <v>9</v>
      </c>
      <c r="I6" s="2" t="s">
        <v>19</v>
      </c>
      <c r="J6" s="1" t="s">
        <v>58</v>
      </c>
      <c r="L6" s="2" t="s">
        <v>33</v>
      </c>
    </row>
    <row r="7" spans="1:16" x14ac:dyDescent="0.2">
      <c r="A7" s="1" t="s">
        <v>44</v>
      </c>
      <c r="B7" s="11">
        <f>[1]Calcs!$C$7</f>
        <v>103</v>
      </c>
      <c r="C7" s="11">
        <f>[2]Calcs!$C$7</f>
        <v>398</v>
      </c>
      <c r="D7" s="11">
        <f>[3]Calcs!$C$7</f>
        <v>4745</v>
      </c>
      <c r="E7" s="1">
        <v>512</v>
      </c>
      <c r="F7" s="8" t="s">
        <v>20</v>
      </c>
      <c r="G7" s="1">
        <f t="shared" si="0"/>
        <v>5246</v>
      </c>
      <c r="H7" s="1" t="s">
        <v>9</v>
      </c>
      <c r="I7" s="2" t="s">
        <v>21</v>
      </c>
      <c r="J7" s="1" t="s">
        <v>58</v>
      </c>
      <c r="L7" s="2" t="s">
        <v>33</v>
      </c>
    </row>
    <row r="8" spans="1:16" x14ac:dyDescent="0.2">
      <c r="A8" s="1" t="s">
        <v>44</v>
      </c>
      <c r="B8" s="11">
        <f>[1]Calcs!$C$8</f>
        <v>21</v>
      </c>
      <c r="C8" s="11">
        <f>[2]Calcs!$C$8</f>
        <v>68</v>
      </c>
      <c r="D8" s="11">
        <f>[3]Calcs!$C$8</f>
        <v>774</v>
      </c>
      <c r="E8" s="1">
        <v>512</v>
      </c>
      <c r="F8" s="8" t="s">
        <v>22</v>
      </c>
      <c r="G8" s="1">
        <f t="shared" si="0"/>
        <v>863</v>
      </c>
      <c r="H8" s="1" t="s">
        <v>9</v>
      </c>
      <c r="I8" s="2" t="s">
        <v>23</v>
      </c>
      <c r="J8" s="1" t="s">
        <v>58</v>
      </c>
      <c r="L8" s="2" t="s">
        <v>33</v>
      </c>
      <c r="P8" s="9"/>
    </row>
    <row r="9" spans="1:16" x14ac:dyDescent="0.2">
      <c r="A9" s="1" t="s">
        <v>44</v>
      </c>
      <c r="B9" s="11">
        <f>[1]Calcs!$C$9</f>
        <v>777</v>
      </c>
      <c r="C9" s="11">
        <f>[2]Calcs!$C$9</f>
        <v>204</v>
      </c>
      <c r="D9" s="11">
        <f>[3]Calcs!$C$9</f>
        <v>8649.67</v>
      </c>
      <c r="E9" s="1">
        <v>516</v>
      </c>
      <c r="F9" s="8" t="s">
        <v>24</v>
      </c>
      <c r="G9" s="1">
        <f t="shared" si="0"/>
        <v>9630.67</v>
      </c>
      <c r="H9" s="1" t="s">
        <v>11</v>
      </c>
      <c r="I9" s="2" t="s">
        <v>25</v>
      </c>
      <c r="J9" s="1"/>
      <c r="L9" s="2" t="s">
        <v>33</v>
      </c>
    </row>
    <row r="10" spans="1:16" x14ac:dyDescent="0.2">
      <c r="A10" s="1" t="s">
        <v>44</v>
      </c>
      <c r="B10" s="11">
        <f>[1]Calcs!$C$11</f>
        <v>27.666666666666668</v>
      </c>
      <c r="C10" s="11">
        <f>[2]Calcs!$C$11</f>
        <v>84</v>
      </c>
      <c r="D10" s="1">
        <f>[3]Calcs!$C$11</f>
        <v>994.44444444444446</v>
      </c>
      <c r="E10" s="1">
        <v>518</v>
      </c>
      <c r="F10" s="8" t="s">
        <v>26</v>
      </c>
      <c r="G10" s="1">
        <f t="shared" si="0"/>
        <v>1106.1111111111111</v>
      </c>
      <c r="H10" s="1" t="s">
        <v>10</v>
      </c>
      <c r="I10" s="45" t="s">
        <v>59</v>
      </c>
      <c r="J10" s="1"/>
      <c r="L10" s="2" t="s">
        <v>60</v>
      </c>
    </row>
    <row r="11" spans="1:16" x14ac:dyDescent="0.2">
      <c r="A11" s="1" t="s">
        <v>44</v>
      </c>
      <c r="B11" s="11">
        <f>[1]Calcs!$C$12</f>
        <v>48</v>
      </c>
      <c r="C11" s="11"/>
      <c r="E11" s="1">
        <v>524</v>
      </c>
      <c r="F11" s="8" t="s">
        <v>47</v>
      </c>
      <c r="G11" s="1">
        <f t="shared" si="0"/>
        <v>48</v>
      </c>
      <c r="H11" s="1" t="s">
        <v>10</v>
      </c>
      <c r="I11" s="2" t="s">
        <v>48</v>
      </c>
      <c r="J11" s="1" t="s">
        <v>58</v>
      </c>
      <c r="L11" s="2" t="s">
        <v>31</v>
      </c>
    </row>
    <row r="12" spans="1:16" x14ac:dyDescent="0.2">
      <c r="A12" s="1" t="s">
        <v>44</v>
      </c>
      <c r="B12" s="11"/>
      <c r="C12" s="11">
        <f>[2]Calcs!$C$12</f>
        <v>108</v>
      </c>
      <c r="D12" s="1">
        <f>[3]Calcs!$C$12</f>
        <v>668</v>
      </c>
      <c r="E12" s="1">
        <v>524</v>
      </c>
      <c r="F12" s="11">
        <v>94603</v>
      </c>
      <c r="G12" s="1">
        <f>SUM(A12:D12)</f>
        <v>776</v>
      </c>
      <c r="H12" s="1" t="s">
        <v>10</v>
      </c>
      <c r="I12" s="2" t="s">
        <v>54</v>
      </c>
      <c r="J12" s="1" t="s">
        <v>58</v>
      </c>
      <c r="L12" s="2"/>
    </row>
    <row r="13" spans="1:16" x14ac:dyDescent="0.2">
      <c r="A13" s="1" t="s">
        <v>44</v>
      </c>
      <c r="B13" s="11">
        <f>[1]Calcs!$C$13</f>
        <v>596</v>
      </c>
      <c r="C13" s="11">
        <f>[2]Calcs!$C$13</f>
        <v>2234</v>
      </c>
      <c r="D13" s="1">
        <f>[3]Calcs!$C$13</f>
        <v>13588.71</v>
      </c>
      <c r="E13" s="1">
        <v>601</v>
      </c>
      <c r="F13" s="11">
        <v>37501</v>
      </c>
      <c r="G13" s="1">
        <f t="shared" si="0"/>
        <v>16418.71</v>
      </c>
      <c r="H13" s="1" t="s">
        <v>10</v>
      </c>
      <c r="I13" s="2" t="s">
        <v>57</v>
      </c>
      <c r="J13" s="1" t="s">
        <v>58</v>
      </c>
      <c r="L13" s="2" t="s">
        <v>34</v>
      </c>
    </row>
    <row r="14" spans="1:16" x14ac:dyDescent="0.2">
      <c r="A14" s="46" t="s">
        <v>44</v>
      </c>
      <c r="B14" s="44">
        <f>[1]Calcs!$C$14</f>
        <v>286.08999999999997</v>
      </c>
      <c r="C14" s="44">
        <f>[2]Calcs!$C$14</f>
        <v>505.07</v>
      </c>
      <c r="D14" s="46">
        <f>[3]Calcs!$C$14</f>
        <v>2</v>
      </c>
      <c r="E14" s="46">
        <v>611</v>
      </c>
      <c r="F14" s="47">
        <v>1100</v>
      </c>
      <c r="G14" s="46">
        <f>D14</f>
        <v>2</v>
      </c>
      <c r="H14" s="46" t="s">
        <v>10</v>
      </c>
      <c r="I14" s="45" t="s">
        <v>27</v>
      </c>
      <c r="J14" s="46"/>
      <c r="K14" s="48"/>
      <c r="L14" s="45" t="s">
        <v>34</v>
      </c>
    </row>
    <row r="15" spans="1:16" x14ac:dyDescent="0.2">
      <c r="A15" s="1" t="s">
        <v>44</v>
      </c>
      <c r="B15" s="1"/>
      <c r="C15" s="1"/>
      <c r="D15" s="1">
        <f>[3]Calcs!$C$16</f>
        <v>644</v>
      </c>
      <c r="E15" s="1" t="s">
        <v>7</v>
      </c>
      <c r="F15" s="10" t="s">
        <v>45</v>
      </c>
      <c r="G15" s="1">
        <f>SUM(A15:D15)</f>
        <v>644</v>
      </c>
      <c r="H15" s="1" t="s">
        <v>37</v>
      </c>
      <c r="I15" s="2" t="s">
        <v>38</v>
      </c>
      <c r="J15" s="1" t="s">
        <v>58</v>
      </c>
    </row>
    <row r="16" spans="1:16" x14ac:dyDescent="0.2">
      <c r="A16" s="1" t="s">
        <v>44</v>
      </c>
      <c r="B16" s="1"/>
      <c r="C16" s="1"/>
      <c r="D16" s="1" t="str">
        <f>[3]Calcs!$C$17</f>
        <v>LUMP</v>
      </c>
      <c r="E16" s="1" t="s">
        <v>7</v>
      </c>
      <c r="F16" s="10" t="s">
        <v>45</v>
      </c>
      <c r="G16" s="1">
        <f t="shared" si="0"/>
        <v>0</v>
      </c>
      <c r="H16" s="1" t="s">
        <v>37</v>
      </c>
      <c r="I16" s="2" t="s">
        <v>39</v>
      </c>
      <c r="J16" s="1"/>
    </row>
    <row r="17" spans="1:12" x14ac:dyDescent="0.2">
      <c r="A17" s="1" t="s">
        <v>44</v>
      </c>
      <c r="B17" s="1"/>
      <c r="C17" s="1"/>
      <c r="D17" s="1">
        <f>[3]Calcs!$C$18</f>
        <v>0</v>
      </c>
      <c r="E17" s="1" t="s">
        <v>7</v>
      </c>
      <c r="F17" s="10" t="s">
        <v>45</v>
      </c>
      <c r="G17" s="1">
        <f t="shared" si="0"/>
        <v>0</v>
      </c>
      <c r="H17" s="1" t="s">
        <v>37</v>
      </c>
      <c r="I17" s="2" t="s">
        <v>40</v>
      </c>
      <c r="J17" s="1"/>
      <c r="L17" s="2"/>
    </row>
    <row r="18" spans="1:12" x14ac:dyDescent="0.2">
      <c r="A18" s="1" t="s">
        <v>44</v>
      </c>
      <c r="B18" s="1"/>
      <c r="C18" s="1"/>
      <c r="D18" s="1">
        <f>[3]Calcs!$C$19</f>
        <v>49169</v>
      </c>
      <c r="E18" s="1" t="s">
        <v>7</v>
      </c>
      <c r="F18" s="10" t="s">
        <v>45</v>
      </c>
      <c r="G18" s="1">
        <f t="shared" si="0"/>
        <v>49169</v>
      </c>
      <c r="H18" s="1" t="s">
        <v>37</v>
      </c>
      <c r="I18" s="2" t="s">
        <v>41</v>
      </c>
      <c r="J18" s="1"/>
      <c r="L18" s="2"/>
    </row>
    <row r="19" spans="1:12" x14ac:dyDescent="0.2">
      <c r="A19" s="1" t="s">
        <v>44</v>
      </c>
      <c r="B19" s="1"/>
      <c r="C19" s="1"/>
      <c r="D19" s="11">
        <f>[3]Calcs!$C$20</f>
        <v>11</v>
      </c>
      <c r="E19" s="1" t="s">
        <v>7</v>
      </c>
      <c r="F19" s="10" t="s">
        <v>45</v>
      </c>
      <c r="G19" s="1">
        <f t="shared" si="0"/>
        <v>11</v>
      </c>
      <c r="H19" s="1" t="s">
        <v>37</v>
      </c>
      <c r="I19" s="2" t="s">
        <v>42</v>
      </c>
      <c r="J19" s="1"/>
      <c r="L19" s="2"/>
    </row>
    <row r="20" spans="1:12" x14ac:dyDescent="0.2">
      <c r="A20" s="1" t="s">
        <v>44</v>
      </c>
      <c r="B20" s="11">
        <f>[1]Calcs!$C$15</f>
        <v>204</v>
      </c>
      <c r="C20" s="11">
        <f>[2]Calcs!$C$15</f>
        <v>453</v>
      </c>
      <c r="D20" s="11">
        <f>[3]Calcs!$C$21</f>
        <v>266</v>
      </c>
      <c r="E20" s="1" t="s">
        <v>7</v>
      </c>
      <c r="F20" s="3" t="s">
        <v>46</v>
      </c>
      <c r="G20" s="1">
        <f t="shared" si="0"/>
        <v>923</v>
      </c>
      <c r="H20" s="1" t="s">
        <v>11</v>
      </c>
      <c r="I20" s="2" t="s">
        <v>43</v>
      </c>
      <c r="J20" s="1"/>
      <c r="L20" s="2" t="s">
        <v>33</v>
      </c>
    </row>
    <row r="21" spans="1:12" x14ac:dyDescent="0.2">
      <c r="A21" s="1" t="s">
        <v>44</v>
      </c>
      <c r="B21" s="11">
        <f>[1]Calcs!$C$16</f>
        <v>0</v>
      </c>
      <c r="C21" s="11">
        <f>[2]Calcs!$C$16</f>
        <v>0</v>
      </c>
      <c r="D21" s="11">
        <f>[3]Calcs!$C$22</f>
        <v>243</v>
      </c>
      <c r="E21" s="1" t="s">
        <v>7</v>
      </c>
      <c r="F21" s="3" t="s">
        <v>46</v>
      </c>
      <c r="G21" s="1">
        <f t="shared" si="0"/>
        <v>243</v>
      </c>
      <c r="H21" s="1" t="s">
        <v>11</v>
      </c>
      <c r="I21" s="2" t="s">
        <v>28</v>
      </c>
      <c r="J21" s="1"/>
      <c r="L21" s="2" t="s">
        <v>33</v>
      </c>
    </row>
    <row r="22" spans="1:12" x14ac:dyDescent="0.2">
      <c r="B22" s="1"/>
      <c r="C22" s="1"/>
      <c r="D22" s="1"/>
      <c r="E22" s="1"/>
      <c r="F22" s="22"/>
      <c r="G22" s="1"/>
      <c r="H22" s="1"/>
      <c r="I22" s="2"/>
      <c r="J22" s="1"/>
      <c r="L22" s="2"/>
    </row>
    <row r="23" spans="1:12" x14ac:dyDescent="0.2">
      <c r="B23" s="1"/>
      <c r="C23" s="1"/>
      <c r="D23" s="1"/>
      <c r="E23" s="1"/>
      <c r="F23" s="3"/>
      <c r="G23" s="1"/>
      <c r="H23" s="1"/>
      <c r="I23" s="2"/>
      <c r="J23" s="1"/>
      <c r="L23" s="2"/>
    </row>
    <row r="24" spans="1:12" x14ac:dyDescent="0.2">
      <c r="B24" s="35" t="s">
        <v>56</v>
      </c>
      <c r="E24" s="23"/>
      <c r="F24" s="24"/>
      <c r="G24" s="23"/>
      <c r="H24" s="23"/>
      <c r="I24" s="25"/>
      <c r="J24" s="23"/>
      <c r="L24" s="2"/>
    </row>
    <row r="25" spans="1:12" x14ac:dyDescent="0.2">
      <c r="E25" s="23"/>
      <c r="F25" s="24"/>
      <c r="G25" s="23"/>
      <c r="H25" s="23"/>
      <c r="I25" s="25"/>
      <c r="J25" s="23"/>
      <c r="L25" s="2"/>
    </row>
    <row r="27" spans="1:12" x14ac:dyDescent="0.2">
      <c r="E27" s="26"/>
      <c r="F27" s="23"/>
      <c r="G27" s="23"/>
      <c r="H27" s="23"/>
      <c r="I27" s="23"/>
    </row>
    <row r="28" spans="1:12" x14ac:dyDescent="0.2">
      <c r="E28" s="28"/>
      <c r="F28" s="25"/>
      <c r="G28" s="25"/>
      <c r="H28" s="29"/>
      <c r="I28" s="23"/>
    </row>
    <row r="29" spans="1:12" x14ac:dyDescent="0.2">
      <c r="E29" s="28"/>
      <c r="F29" s="25"/>
      <c r="G29" s="25"/>
      <c r="H29" s="30"/>
    </row>
    <row r="30" spans="1:12" x14ac:dyDescent="0.2">
      <c r="E30" s="28"/>
      <c r="F30" s="25"/>
      <c r="G30" s="25"/>
    </row>
    <row r="31" spans="1:12" x14ac:dyDescent="0.2">
      <c r="E31" s="31"/>
      <c r="F31" s="25"/>
    </row>
    <row r="33" spans="5:9" x14ac:dyDescent="0.2">
      <c r="E33" s="26"/>
    </row>
    <row r="35" spans="5:9" x14ac:dyDescent="0.2">
      <c r="E35" s="32"/>
      <c r="F35" s="30"/>
      <c r="G35" s="30"/>
    </row>
    <row r="36" spans="5:9" x14ac:dyDescent="0.2">
      <c r="E36" s="32"/>
      <c r="F36" s="30"/>
      <c r="G36" s="30"/>
    </row>
    <row r="37" spans="5:9" x14ac:dyDescent="0.2">
      <c r="E37" s="32"/>
      <c r="F37" s="30"/>
      <c r="G37" s="30"/>
    </row>
    <row r="38" spans="5:9" x14ac:dyDescent="0.2">
      <c r="E38" s="29"/>
      <c r="F38" s="30"/>
      <c r="G38" s="31"/>
      <c r="H38" s="30"/>
    </row>
    <row r="39" spans="5:9" x14ac:dyDescent="0.2">
      <c r="E39" s="29"/>
      <c r="F39" s="30"/>
      <c r="G39" s="31"/>
      <c r="H39" s="30"/>
    </row>
    <row r="41" spans="5:9" x14ac:dyDescent="0.2">
      <c r="E41" s="26"/>
    </row>
    <row r="43" spans="5:9" x14ac:dyDescent="0.2">
      <c r="E43" s="33"/>
      <c r="F43" s="30"/>
      <c r="G43" s="30"/>
    </row>
    <row r="44" spans="5:9" x14ac:dyDescent="0.2">
      <c r="E44" s="31"/>
      <c r="F44" s="30"/>
    </row>
    <row r="45" spans="5:9" x14ac:dyDescent="0.2">
      <c r="E45" s="26"/>
    </row>
    <row r="46" spans="5:9" x14ac:dyDescent="0.2">
      <c r="E46" s="29"/>
    </row>
    <row r="47" spans="5:9" x14ac:dyDescent="0.2">
      <c r="E47" s="29"/>
      <c r="G47" s="30"/>
      <c r="I47" s="30"/>
    </row>
    <row r="48" spans="5:9" x14ac:dyDescent="0.2">
      <c r="E48" s="29"/>
      <c r="G48" s="30"/>
      <c r="I48" s="30"/>
    </row>
    <row r="49" spans="5:9" x14ac:dyDescent="0.2">
      <c r="E49" s="12"/>
      <c r="F49" s="19"/>
      <c r="G49" s="19"/>
      <c r="H49" s="19"/>
      <c r="I49" s="19"/>
    </row>
    <row r="50" spans="5:9" x14ac:dyDescent="0.2">
      <c r="E50" s="12"/>
      <c r="F50" s="13"/>
      <c r="G50" s="14"/>
      <c r="H50" s="13"/>
      <c r="I50" s="15"/>
    </row>
    <row r="51" spans="5:9" x14ac:dyDescent="0.2">
      <c r="E51" s="15"/>
      <c r="F51" s="16"/>
      <c r="G51" s="14"/>
      <c r="H51" s="13"/>
      <c r="I51" s="15"/>
    </row>
    <row r="52" spans="5:9" x14ac:dyDescent="0.2">
      <c r="E52" s="12"/>
      <c r="F52" s="17"/>
      <c r="G52" s="14"/>
      <c r="H52" s="13"/>
      <c r="I52" s="18"/>
    </row>
    <row r="53" spans="5:9" x14ac:dyDescent="0.2">
      <c r="E53" s="12"/>
      <c r="F53" s="17"/>
      <c r="G53" s="14"/>
      <c r="H53" s="13"/>
      <c r="I53" s="18"/>
    </row>
    <row r="54" spans="5:9" x14ac:dyDescent="0.2">
      <c r="E54" s="18"/>
      <c r="F54" s="19"/>
      <c r="G54" s="21"/>
      <c r="H54" s="20"/>
      <c r="I54" s="15"/>
    </row>
    <row r="55" spans="5:9" x14ac:dyDescent="0.2">
      <c r="E55" s="18"/>
      <c r="F55" s="19"/>
      <c r="G55" s="14"/>
      <c r="H55" s="20"/>
      <c r="I55" s="15"/>
    </row>
    <row r="56" spans="5:9" x14ac:dyDescent="0.2">
      <c r="E56" s="12"/>
      <c r="F56" s="12"/>
      <c r="G56" s="12"/>
      <c r="H56" s="12"/>
      <c r="I56" s="12"/>
    </row>
    <row r="57" spans="5:9" x14ac:dyDescent="0.2">
      <c r="E57" s="12"/>
      <c r="F57" s="13"/>
      <c r="G57" s="14"/>
      <c r="H57" s="13"/>
      <c r="I57" s="15"/>
    </row>
    <row r="58" spans="5:9" x14ac:dyDescent="0.2">
      <c r="E58" s="15"/>
      <c r="F58" s="16"/>
      <c r="G58" s="14"/>
      <c r="H58" s="13"/>
      <c r="I58" s="15"/>
    </row>
    <row r="59" spans="5:9" x14ac:dyDescent="0.2">
      <c r="E59" s="12"/>
      <c r="F59" s="17"/>
      <c r="G59" s="14"/>
      <c r="H59" s="13"/>
      <c r="I59" s="18"/>
    </row>
    <row r="60" spans="5:9" x14ac:dyDescent="0.2">
      <c r="E60" s="18"/>
      <c r="F60" s="19"/>
      <c r="G60" s="21"/>
      <c r="H60" s="20"/>
      <c r="I60" s="15"/>
    </row>
    <row r="61" spans="5:9" x14ac:dyDescent="0.2">
      <c r="E61" s="18"/>
      <c r="F61" s="17"/>
      <c r="G61" s="14"/>
      <c r="H61" s="20"/>
      <c r="I61" s="15"/>
    </row>
    <row r="62" spans="5:9" x14ac:dyDescent="0.2">
      <c r="E62" s="12"/>
      <c r="F62" s="12"/>
      <c r="G62" s="12"/>
      <c r="H62" s="12"/>
      <c r="I62" s="12"/>
    </row>
    <row r="63" spans="5:9" x14ac:dyDescent="0.2">
      <c r="E63" s="12"/>
      <c r="F63" s="13"/>
      <c r="G63" s="14"/>
      <c r="H63" s="13"/>
      <c r="I63" s="15"/>
    </row>
    <row r="64" spans="5:9" x14ac:dyDescent="0.2">
      <c r="E64" s="15"/>
      <c r="F64" s="16"/>
      <c r="G64" s="14"/>
      <c r="H64" s="13"/>
      <c r="I64" s="15"/>
    </row>
    <row r="65" spans="5:9" x14ac:dyDescent="0.2">
      <c r="E65" s="12"/>
      <c r="F65" s="17"/>
      <c r="G65" s="14"/>
      <c r="H65" s="13"/>
      <c r="I65" s="18"/>
    </row>
    <row r="66" spans="5:9" x14ac:dyDescent="0.2">
      <c r="E66" s="12"/>
      <c r="F66" s="17"/>
      <c r="G66" s="14"/>
      <c r="H66" s="13"/>
      <c r="I66" s="18"/>
    </row>
    <row r="67" spans="5:9" x14ac:dyDescent="0.2">
      <c r="E67" s="18"/>
      <c r="F67" s="19"/>
      <c r="G67" s="21"/>
      <c r="H67" s="20"/>
      <c r="I67" s="15"/>
    </row>
    <row r="68" spans="5:9" x14ac:dyDescent="0.2">
      <c r="E68" s="29"/>
      <c r="G68" s="34"/>
      <c r="H68" s="20"/>
      <c r="I68" s="30"/>
    </row>
    <row r="69" spans="5:9" x14ac:dyDescent="0.2">
      <c r="E69" s="33"/>
      <c r="F69" s="30"/>
      <c r="G69" s="30"/>
    </row>
    <row r="70" spans="5:9" x14ac:dyDescent="0.2">
      <c r="E70" s="12"/>
      <c r="F70" s="12"/>
      <c r="G70" s="12"/>
      <c r="H70" s="12"/>
      <c r="I70" s="12"/>
    </row>
    <row r="71" spans="5:9" x14ac:dyDescent="0.2">
      <c r="E71" s="12"/>
      <c r="F71" s="13"/>
      <c r="G71" s="14"/>
      <c r="H71" s="13"/>
      <c r="I71" s="15"/>
    </row>
    <row r="72" spans="5:9" x14ac:dyDescent="0.2">
      <c r="E72" s="15"/>
      <c r="F72" s="16"/>
      <c r="G72" s="14"/>
      <c r="H72" s="13"/>
      <c r="I72" s="15"/>
    </row>
    <row r="73" spans="5:9" x14ac:dyDescent="0.2">
      <c r="E73" s="12"/>
      <c r="F73" s="17"/>
      <c r="G73" s="14"/>
      <c r="H73" s="13"/>
      <c r="I73" s="18"/>
    </row>
    <row r="74" spans="5:9" x14ac:dyDescent="0.2">
      <c r="E74" s="12"/>
      <c r="F74" s="17"/>
      <c r="G74" s="14"/>
      <c r="H74" s="13"/>
      <c r="I74" s="18"/>
    </row>
    <row r="75" spans="5:9" x14ac:dyDescent="0.2">
      <c r="E75" s="18"/>
      <c r="F75" s="19"/>
      <c r="G75" s="21"/>
      <c r="H75" s="20"/>
      <c r="I75" s="15"/>
    </row>
    <row r="76" spans="5:9" x14ac:dyDescent="0.2">
      <c r="E76" s="29"/>
      <c r="G76" s="34"/>
      <c r="H76" s="20"/>
      <c r="I76" s="3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AUTOTABLE</vt:lpstr>
      <vt:lpstr>E3</vt:lpstr>
      <vt:lpstr>Quants</vt:lpstr>
      <vt:lpstr>VOID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Grouped SPL Estimate</dc:title>
  <dc:creator>Meet Shah</dc:creator>
  <cp:lastModifiedBy>Meet Shah</cp:lastModifiedBy>
  <cp:lastPrinted>2015-09-16T14:37:51Z</cp:lastPrinted>
  <dcterms:created xsi:type="dcterms:W3CDTF">2007-01-18T14:43:23Z</dcterms:created>
  <dcterms:modified xsi:type="dcterms:W3CDTF">2023-02-28T15:30:26Z</dcterms:modified>
</cp:coreProperties>
</file>